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70" windowWidth="15360" windowHeight="6570" activeTab="0"/>
  </bookViews>
  <sheets>
    <sheet name="Detector Prototype data avg." sheetId="1" r:id="rId1"/>
    <sheet name="Thermal Comp by changing Rload" sheetId="2" r:id="rId2"/>
  </sheets>
  <definedNames>
    <definedName name="_xlnm.Print_Area" localSheetId="0">'Detector Prototype data avg.'!$A$1:$AE$247</definedName>
    <definedName name="_xlnm.Print_Area" localSheetId="1">'Thermal Comp by changing Rload'!$A$1:$X$43</definedName>
  </definedNames>
  <calcPr fullCalcOnLoad="1"/>
</workbook>
</file>

<file path=xl/sharedStrings.xml><?xml version="1.0" encoding="utf-8"?>
<sst xmlns="http://schemas.openxmlformats.org/spreadsheetml/2006/main" count="147" uniqueCount="92">
  <si>
    <t>Power Level</t>
  </si>
  <si>
    <t>dBm</t>
  </si>
  <si>
    <t>Load resistor</t>
  </si>
  <si>
    <t>K ohms</t>
  </si>
  <si>
    <t>Diode Linearity</t>
  </si>
  <si>
    <t xml:space="preserve">10=Square law   20= Linear Region     &gt;20= Saturation </t>
  </si>
  <si>
    <t>Vout @ 23 deg (V)</t>
  </si>
  <si>
    <r>
      <t xml:space="preserve">Drift @ 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deg rel to 23 (dB)</t>
    </r>
  </si>
  <si>
    <r>
      <t xml:space="preserve">Drift @ </t>
    </r>
    <r>
      <rPr>
        <b/>
        <sz val="10"/>
        <color indexed="10"/>
        <rFont val="Arial"/>
        <family val="2"/>
      </rPr>
      <t>50</t>
    </r>
    <r>
      <rPr>
        <sz val="10"/>
        <rFont val="Arial"/>
        <family val="0"/>
      </rPr>
      <t xml:space="preserve"> deg rel to 23 (dB)</t>
    </r>
  </si>
  <si>
    <r>
      <t xml:space="preserve">Vout @ </t>
    </r>
    <r>
      <rPr>
        <b/>
        <sz val="10"/>
        <color indexed="10"/>
        <rFont val="Arial"/>
        <family val="2"/>
      </rPr>
      <t>23</t>
    </r>
    <r>
      <rPr>
        <sz val="10"/>
        <rFont val="Arial"/>
        <family val="0"/>
      </rPr>
      <t xml:space="preserve"> deg (V)</t>
    </r>
  </si>
  <si>
    <r>
      <t xml:space="preserve">Drift @ </t>
    </r>
    <r>
      <rPr>
        <b/>
        <sz val="10"/>
        <color indexed="10"/>
        <rFont val="Arial"/>
        <family val="2"/>
      </rPr>
      <t>71</t>
    </r>
    <r>
      <rPr>
        <sz val="10"/>
        <rFont val="Arial"/>
        <family val="0"/>
      </rPr>
      <t xml:space="preserve"> deg rel to 23 (dB)</t>
    </r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</si>
  <si>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 xml:space="preserve">: 23 deg data is the  Output Voltage measured. At other Temperatures the data given is the drift relative to 23 deg in dB using the diode Linearity- not a simple "10" or "20" multiplier </t>
    </r>
  </si>
  <si>
    <r>
      <t>Diode</t>
    </r>
    <r>
      <rPr>
        <b/>
        <sz val="10"/>
        <color indexed="10"/>
        <rFont val="Arial"/>
        <family val="2"/>
      </rPr>
      <t xml:space="preserve"> Linearity</t>
    </r>
    <r>
      <rPr>
        <sz val="10"/>
        <rFont val="Arial"/>
        <family val="0"/>
      </rPr>
      <t xml:space="preserve"> (Lin=(delta Pin (dB)/log(V1/V2))</t>
    </r>
  </si>
  <si>
    <t>Rvideo=Rload*((V10Mohm/Vload)-1)</t>
  </si>
  <si>
    <t>Kohms</t>
  </si>
  <si>
    <t>Video Resistance @ 23 Deg C</t>
  </si>
  <si>
    <t>Rvideo= Rdiode + 300</t>
  </si>
  <si>
    <t>Rvideo @ 2 K load</t>
  </si>
  <si>
    <t>Rvideo @ 1 K load</t>
  </si>
  <si>
    <t>Rvideo @ 5K load</t>
  </si>
  <si>
    <t>Rvideo @10 K load</t>
  </si>
  <si>
    <t>Rvideo @ 20 K load</t>
  </si>
  <si>
    <t>Rvideo @ 50 K load</t>
  </si>
  <si>
    <t>Rvideo @ 200K load</t>
  </si>
  <si>
    <r>
      <t xml:space="preserve">Vout @ 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0"/>
      </rPr>
      <t>deg (V)</t>
    </r>
  </si>
  <si>
    <r>
      <t>Vout @</t>
    </r>
    <r>
      <rPr>
        <sz val="10"/>
        <color indexed="10"/>
        <rFont val="Arial"/>
        <family val="2"/>
      </rPr>
      <t xml:space="preserve"> 71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deg (V)</t>
    </r>
  </si>
  <si>
    <r>
      <t xml:space="preserve">Vout @ </t>
    </r>
    <r>
      <rPr>
        <sz val="10"/>
        <color indexed="10"/>
        <rFont val="Arial"/>
        <family val="2"/>
      </rPr>
      <t>5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0"/>
      </rPr>
      <t>deg (V)</t>
    </r>
  </si>
  <si>
    <r>
      <t xml:space="preserve">Vout @       </t>
    </r>
    <r>
      <rPr>
        <b/>
        <sz val="10"/>
        <color indexed="10"/>
        <rFont val="Arial"/>
        <family val="2"/>
      </rPr>
      <t xml:space="preserve">-22 </t>
    </r>
    <r>
      <rPr>
        <sz val="10"/>
        <rFont val="Arial"/>
        <family val="0"/>
      </rPr>
      <t>deg (V)</t>
    </r>
  </si>
  <si>
    <r>
      <t xml:space="preserve">Drift @        </t>
    </r>
    <r>
      <rPr>
        <b/>
        <sz val="10"/>
        <color indexed="10"/>
        <rFont val="Arial"/>
        <family val="2"/>
      </rPr>
      <t xml:space="preserve">-22 </t>
    </r>
    <r>
      <rPr>
        <sz val="10"/>
        <rFont val="Arial"/>
        <family val="0"/>
      </rPr>
      <t>deg rel to 23 (dB)</t>
    </r>
  </si>
  <si>
    <t>Test Temperatures</t>
  </si>
  <si>
    <t>Vout @       -22 deg (V)</t>
  </si>
  <si>
    <t>Vout @ 50 deg (V)</t>
  </si>
  <si>
    <t>Vout @ 71 deg (V)</t>
  </si>
  <si>
    <t>Vout @     0 deg     (V)</t>
  </si>
  <si>
    <t>Rv @ 1K load, -22 C</t>
  </si>
  <si>
    <t>Rv @ 1K load, 0 C</t>
  </si>
  <si>
    <t>Rv @ 1K load, 23 C</t>
  </si>
  <si>
    <t>Rv @ 1K load, 50 C</t>
  </si>
  <si>
    <t>Rv @ 1K load,71 C</t>
  </si>
  <si>
    <t>Rv @ 2K load, -22 C</t>
  </si>
  <si>
    <t>Rv @ 2K load, 0 C</t>
  </si>
  <si>
    <t>Rv @ 2K load, 23 C</t>
  </si>
  <si>
    <t>Rv @ 2K load, 50 C</t>
  </si>
  <si>
    <t>Rv @ 2K load,71 C</t>
  </si>
  <si>
    <t>Rv @ 5K load, 0 C</t>
  </si>
  <si>
    <t>Rv @ 5K load, 23 C</t>
  </si>
  <si>
    <t>Rv @ 5K load, 50 C</t>
  </si>
  <si>
    <t>Rv @ 5K load,71 C</t>
  </si>
  <si>
    <t>Rv @ 5K load, -22 C</t>
  </si>
  <si>
    <t>Diode Linearity @ 5 K load</t>
  </si>
  <si>
    <t>Rv @ 10K load, 0 C</t>
  </si>
  <si>
    <t>Rv @ 10K load, 23 C</t>
  </si>
  <si>
    <t>Rv @ 10K load, 50 C</t>
  </si>
  <si>
    <t>Rv @ 10K load,71 C</t>
  </si>
  <si>
    <t>Rv @ 10K load, -22 C</t>
  </si>
  <si>
    <t>Rv @ 20K load, 0 C</t>
  </si>
  <si>
    <t>Rv @ 20K load, 23 C</t>
  </si>
  <si>
    <t>Rv @ 20K load, 50 C</t>
  </si>
  <si>
    <t>Rv @ 20K load,71 C</t>
  </si>
  <si>
    <t>Rv @ 20K load, -22 C</t>
  </si>
  <si>
    <t>Pwr Lvl (dBm)</t>
  </si>
  <si>
    <t>Vout @ -22 deg (V)</t>
  </si>
  <si>
    <t>Vout @ 0deg (V)</t>
  </si>
  <si>
    <t>Calculated Vout as Load resistance is changed to temperature comp values</t>
  </si>
  <si>
    <t>Calculated drift (dB) @ new R load)</t>
  </si>
  <si>
    <t>Drfit @ -22 deg (dB)</t>
  </si>
  <si>
    <t>Drfit @ 0 deg (dB)</t>
  </si>
  <si>
    <t>Drfit @23 deg (dB)</t>
  </si>
  <si>
    <t>Drfit @ 50 deg (dB)</t>
  </si>
  <si>
    <t>Drfit @ 71 deg (dB)</t>
  </si>
  <si>
    <t>Detector Load resis (Kohms):</t>
  </si>
  <si>
    <t>Operating Temperature (deg C):</t>
  </si>
  <si>
    <t xml:space="preserve">Thermal drift, Linearity and Vout vs Load of zero bias Schottky Diode: Used in 4503, 4506, 70122 &amp; 70130 </t>
  </si>
  <si>
    <t>10=Square law  20= Linear Region     &gt;20= Saturation    neg = breakdown</t>
  </si>
  <si>
    <t>Diode ID: Avg of Wht 1-Wht 5 prototypes</t>
  </si>
  <si>
    <t>Data: 19 Oct 1992</t>
  </si>
  <si>
    <t>Redrawn: 18 Apr 2006</t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</si>
  <si>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>: Average detector voltage output at the five test temperatures. Grouped by load resistance.</t>
    </r>
  </si>
  <si>
    <t>Scratch pad: Change load resistance here and watch thermal drift change</t>
  </si>
  <si>
    <t>Room Temp</t>
  </si>
  <si>
    <t>Extended low- non-destructive but electrically not specified</t>
  </si>
  <si>
    <t>Extended High- non-destructive but electrically not specified</t>
  </si>
  <si>
    <t>Lower Temperature Spec</t>
  </si>
  <si>
    <t>Upper Temperature Spec</t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</si>
  <si>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>: 23 deg data is the  Output Voltage measured. At beginning and end of test cycle. Data was copied from previous worksheet (Detector Prototype data average)</t>
    </r>
  </si>
  <si>
    <t>Rvideo @ 5K load, 0 deg C</t>
  </si>
  <si>
    <t>Rvideo @ 5K load,      -22 deg C</t>
  </si>
  <si>
    <t>Rvideo @ 5K load, 23 deg C</t>
  </si>
  <si>
    <t>Rvideo @ 5K load, 50 deg C</t>
  </si>
  <si>
    <t>Rvideo @ 5K load,71 deg C</t>
  </si>
  <si>
    <t>Load Resistor</t>
  </si>
  <si>
    <r>
      <t>Load Resistance</t>
    </r>
    <r>
      <rPr>
        <sz val="10"/>
        <rFont val="Arial"/>
        <family val="0"/>
      </rPr>
      <t xml:space="preserve"> with Thermistors: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</si>
</sst>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</numFmts>
  <fonts count="2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7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sz val="9.75"/>
      <name val="Arial"/>
      <family val="2"/>
    </font>
    <font>
      <b/>
      <sz val="11.25"/>
      <name val="Arial"/>
      <family val="2"/>
    </font>
    <font>
      <b/>
      <sz val="9.75"/>
      <name val="Arial"/>
      <family val="2"/>
    </font>
    <font>
      <sz val="11.75"/>
      <name val="Arial"/>
      <family val="0"/>
    </font>
    <font>
      <sz val="10.75"/>
      <name val="Arial"/>
      <family val="2"/>
    </font>
    <font>
      <b/>
      <i/>
      <sz val="10"/>
      <color indexed="10"/>
      <name val="Arial"/>
      <family val="2"/>
    </font>
    <font>
      <sz val="15.75"/>
      <name val="Arial"/>
      <family val="0"/>
    </font>
    <font>
      <sz val="11.25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4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DashDot"/>
      <right>
        <color indexed="63"/>
      </right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66" fontId="0" fillId="0" borderId="31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2" fontId="0" fillId="0" borderId="3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6" fontId="0" fillId="0" borderId="34" xfId="0" applyNumberFormat="1" applyBorder="1" applyAlignment="1">
      <alignment horizontal="center" wrapText="1"/>
    </xf>
    <xf numFmtId="0" fontId="0" fillId="0" borderId="33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1" xfId="0" applyFill="1" applyBorder="1" applyAlignment="1">
      <alignment horizontal="center" wrapText="1"/>
    </xf>
    <xf numFmtId="0" fontId="0" fillId="2" borderId="5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0" fillId="2" borderId="56" xfId="0" applyFill="1" applyBorder="1" applyAlignment="1">
      <alignment horizontal="center" wrapText="1"/>
    </xf>
    <xf numFmtId="0" fontId="0" fillId="2" borderId="57" xfId="0" applyFill="1" applyBorder="1" applyAlignment="1">
      <alignment horizontal="right"/>
    </xf>
    <xf numFmtId="0" fontId="0" fillId="2" borderId="58" xfId="0" applyFill="1" applyBorder="1" applyAlignment="1">
      <alignment/>
    </xf>
    <xf numFmtId="2" fontId="0" fillId="2" borderId="59" xfId="0" applyNumberFormat="1" applyFill="1" applyBorder="1" applyAlignment="1">
      <alignment horizontal="center"/>
    </xf>
    <xf numFmtId="2" fontId="0" fillId="2" borderId="60" xfId="0" applyNumberFormat="1" applyFill="1" applyBorder="1" applyAlignment="1">
      <alignment horizontal="center"/>
    </xf>
    <xf numFmtId="0" fontId="0" fillId="2" borderId="61" xfId="0" applyFill="1" applyBorder="1" applyAlignment="1">
      <alignment horizontal="right"/>
    </xf>
    <xf numFmtId="0" fontId="0" fillId="2" borderId="23" xfId="0" applyFill="1" applyBorder="1" applyAlignment="1">
      <alignment/>
    </xf>
    <xf numFmtId="2" fontId="0" fillId="2" borderId="62" xfId="0" applyNumberFormat="1" applyFill="1" applyBorder="1" applyAlignment="1">
      <alignment horizontal="center"/>
    </xf>
    <xf numFmtId="2" fontId="0" fillId="2" borderId="63" xfId="0" applyNumberFormat="1" applyFill="1" applyBorder="1" applyAlignment="1">
      <alignment horizontal="center"/>
    </xf>
    <xf numFmtId="0" fontId="0" fillId="2" borderId="61" xfId="0" applyFont="1" applyFill="1" applyBorder="1" applyAlignment="1">
      <alignment horizontal="right"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63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3" xfId="0" applyFill="1" applyBorder="1" applyAlignment="1">
      <alignment/>
    </xf>
    <xf numFmtId="2" fontId="0" fillId="2" borderId="64" xfId="0" applyNumberFormat="1" applyFill="1" applyBorder="1" applyAlignment="1">
      <alignment horizontal="center"/>
    </xf>
    <xf numFmtId="2" fontId="0" fillId="2" borderId="56" xfId="0" applyNumberFormat="1" applyFill="1" applyBorder="1" applyAlignment="1">
      <alignment horizontal="center"/>
    </xf>
    <xf numFmtId="2" fontId="0" fillId="2" borderId="65" xfId="0" applyNumberFormat="1" applyFill="1" applyBorder="1" applyAlignment="1">
      <alignment horizontal="center"/>
    </xf>
    <xf numFmtId="166" fontId="0" fillId="2" borderId="65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166" fontId="0" fillId="2" borderId="22" xfId="0" applyNumberFormat="1" applyFill="1" applyBorder="1" applyAlignment="1">
      <alignment/>
    </xf>
    <xf numFmtId="164" fontId="0" fillId="2" borderId="22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6" xfId="0" applyFill="1" applyBorder="1" applyAlignment="1">
      <alignment horizontal="right"/>
    </xf>
    <xf numFmtId="0" fontId="0" fillId="3" borderId="5" xfId="0" applyFill="1" applyBorder="1" applyAlignment="1">
      <alignment/>
    </xf>
    <xf numFmtId="166" fontId="0" fillId="3" borderId="5" xfId="0" applyNumberFormat="1" applyFill="1" applyBorder="1" applyAlignment="1">
      <alignment horizontal="center"/>
    </xf>
    <xf numFmtId="2" fontId="0" fillId="3" borderId="67" xfId="0" applyNumberFormat="1" applyFill="1" applyBorder="1" applyAlignment="1">
      <alignment horizontal="center"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/>
    </xf>
    <xf numFmtId="166" fontId="0" fillId="3" borderId="22" xfId="0" applyNumberFormat="1" applyFill="1" applyBorder="1" applyAlignment="1">
      <alignment horizontal="center"/>
    </xf>
    <xf numFmtId="2" fontId="0" fillId="3" borderId="68" xfId="0" applyNumberFormat="1" applyFill="1" applyBorder="1" applyAlignment="1">
      <alignment horizontal="center"/>
    </xf>
    <xf numFmtId="0" fontId="0" fillId="3" borderId="21" xfId="0" applyFont="1" applyFill="1" applyBorder="1" applyAlignment="1">
      <alignment horizontal="right"/>
    </xf>
    <xf numFmtId="0" fontId="0" fillId="3" borderId="21" xfId="0" applyFill="1" applyBorder="1" applyAlignment="1">
      <alignment/>
    </xf>
    <xf numFmtId="166" fontId="0" fillId="3" borderId="22" xfId="0" applyNumberFormat="1" applyFill="1" applyBorder="1" applyAlignment="1">
      <alignment/>
    </xf>
    <xf numFmtId="0" fontId="0" fillId="3" borderId="68" xfId="0" applyFill="1" applyBorder="1" applyAlignment="1">
      <alignment/>
    </xf>
    <xf numFmtId="0" fontId="0" fillId="3" borderId="22" xfId="0" applyFill="1" applyBorder="1" applyAlignment="1">
      <alignment horizontal="center" wrapText="1"/>
    </xf>
    <xf numFmtId="166" fontId="0" fillId="3" borderId="22" xfId="0" applyNumberFormat="1" applyFill="1" applyBorder="1" applyAlignment="1">
      <alignment horizontal="center" wrapText="1"/>
    </xf>
    <xf numFmtId="0" fontId="0" fillId="3" borderId="68" xfId="0" applyFill="1" applyBorder="1" applyAlignment="1">
      <alignment horizontal="center" wrapText="1"/>
    </xf>
    <xf numFmtId="0" fontId="0" fillId="3" borderId="14" xfId="0" applyFill="1" applyBorder="1" applyAlignment="1">
      <alignment horizontal="right"/>
    </xf>
    <xf numFmtId="2" fontId="0" fillId="3" borderId="69" xfId="0" applyNumberFormat="1" applyFill="1" applyBorder="1" applyAlignment="1">
      <alignment horizontal="center"/>
    </xf>
    <xf numFmtId="0" fontId="0" fillId="3" borderId="25" xfId="0" applyFill="1" applyBorder="1" applyAlignment="1">
      <alignment/>
    </xf>
    <xf numFmtId="166" fontId="0" fillId="3" borderId="25" xfId="0" applyNumberFormat="1" applyFill="1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2" fontId="0" fillId="0" borderId="72" xfId="0" applyNumberFormat="1" applyBorder="1" applyAlignment="1">
      <alignment horizontal="center" wrapText="1"/>
    </xf>
    <xf numFmtId="2" fontId="0" fillId="0" borderId="73" xfId="0" applyNumberFormat="1" applyBorder="1" applyAlignment="1">
      <alignment horizontal="center" wrapText="1"/>
    </xf>
    <xf numFmtId="2" fontId="0" fillId="0" borderId="74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4" borderId="79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0" fillId="4" borderId="80" xfId="0" applyFill="1" applyBorder="1" applyAlignment="1">
      <alignment horizontal="right"/>
    </xf>
    <xf numFmtId="0" fontId="0" fillId="4" borderId="80" xfId="0" applyFill="1" applyBorder="1" applyAlignment="1">
      <alignment/>
    </xf>
    <xf numFmtId="166" fontId="0" fillId="4" borderId="80" xfId="0" applyNumberFormat="1" applyFill="1" applyBorder="1" applyAlignment="1">
      <alignment horizontal="center"/>
    </xf>
    <xf numFmtId="2" fontId="0" fillId="4" borderId="80" xfId="0" applyNumberFormat="1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0" fillId="4" borderId="82" xfId="0" applyFill="1" applyBorder="1" applyAlignment="1">
      <alignment horizontal="center"/>
    </xf>
    <xf numFmtId="0" fontId="0" fillId="4" borderId="83" xfId="0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8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89" xfId="0" applyNumberFormat="1" applyBorder="1" applyAlignment="1">
      <alignment horizontal="center"/>
    </xf>
    <xf numFmtId="166" fontId="0" fillId="0" borderId="90" xfId="0" applyNumberFormat="1" applyBorder="1" applyAlignment="1">
      <alignment horizontal="center"/>
    </xf>
    <xf numFmtId="167" fontId="0" fillId="0" borderId="89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2" fillId="2" borderId="91" xfId="0" applyFont="1" applyFill="1" applyBorder="1" applyAlignment="1">
      <alignment horizontal="center" wrapText="1"/>
    </xf>
    <xf numFmtId="167" fontId="0" fillId="0" borderId="17" xfId="0" applyNumberFormat="1" applyBorder="1" applyAlignment="1">
      <alignment horizontal="center"/>
    </xf>
    <xf numFmtId="0" fontId="0" fillId="0" borderId="9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1" fillId="3" borderId="38" xfId="0" applyFont="1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3" borderId="96" xfId="0" applyFill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7" fillId="0" borderId="39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8" xfId="0" applyBorder="1" applyAlignment="1">
      <alignment/>
    </xf>
    <xf numFmtId="0" fontId="4" fillId="0" borderId="9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101" xfId="0" applyFont="1" applyFill="1" applyBorder="1" applyAlignment="1">
      <alignment horizontal="center" wrapText="1"/>
    </xf>
    <xf numFmtId="0" fontId="23" fillId="3" borderId="91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6" fillId="0" borderId="91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7" fillId="0" borderId="101" xfId="0" applyFont="1" applyFill="1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10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Thermal Drift: 10Meg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"/>
          <c:w val="0.97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avg.'!$M$6:$M$19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avg.'!$N$6:$N$19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avg.'!$P$6:$P$19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avg.'!$Q$6:$Q$19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30530698"/>
        <c:axId val="6340827"/>
      </c:scatterChart>
      <c:valAx>
        <c:axId val="30530698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crossAx val="6340827"/>
        <c:crosses val="autoZero"/>
        <c:crossBetween val="midCat"/>
        <c:dispUnits/>
        <c:majorUnit val="5"/>
        <c:minorUnit val="2.5"/>
      </c:valAx>
      <c:valAx>
        <c:axId val="6340827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crossAx val="30530698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5"/>
          <c:y val="0.00475"/>
          <c:w val="0.62725"/>
          <c:h val="0.066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20 Kohm</a:t>
            </a:r>
          </a:p>
        </c:rich>
      </c:tx>
      <c:layout>
        <c:manualLayout>
          <c:xMode val="factor"/>
          <c:yMode val="factor"/>
          <c:x val="-0.07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75"/>
          <c:w val="0.84825"/>
          <c:h val="0.979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avg.'!$M$173:$Q$173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avg.'!$M$174:$Q$174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avg.'!$M$175:$Q$175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avg.'!$M$177:$Q$177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avg.'!$M$179:$Q$179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avg.'!$M$180:$Q$180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avg.'!$M$181:$Q$181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avg.'!$M$182:$Q$182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avg.'!$M$183:$Q$183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avg.'!$M$184:$Q$184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avg.'!$M$185:$Q$185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avg.'!$M$186:$Q$186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4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42205572"/>
        <c:axId val="44305829"/>
      </c:scatterChart>
      <c:valAx>
        <c:axId val="42205572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4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crossBetween val="midCat"/>
        <c:dispUnits/>
        <c:majorUnit val="10"/>
        <c:minorUnit val="5"/>
      </c:valAx>
      <c:valAx>
        <c:axId val="44305829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1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08725"/>
          <c:w val="0.15125"/>
          <c:h val="0.73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5 Kohm</a:t>
            </a:r>
          </a:p>
        </c:rich>
      </c:tx>
      <c:layout>
        <c:manualLayout>
          <c:xMode val="factor"/>
          <c:yMode val="factor"/>
          <c:x val="-0.02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975"/>
          <c:w val="0.849"/>
          <c:h val="0.9705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avg.'!$M$203:$Q$203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avg.'!$M$204:$Q$204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avg.'!$M$205:$Q$205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avg.'!$M$207:$Q$207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avg.'!$M$209:$Q$209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avg.'!$M$210:$Q$210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avg.'!$M$211:$Q$211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avg.'!$M$212:$Q$212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avg.'!$M$213:$Q$213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avg.'!$M$214:$Q$214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avg.'!$M$215:$Q$215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avg.'!$M$216:$Q$216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3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63208142"/>
        <c:axId val="32002367"/>
      </c:scatterChart>
      <c:valAx>
        <c:axId val="63208142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crossBetween val="midCat"/>
        <c:dispUnits/>
        <c:majorUnit val="10"/>
        <c:minorUnit val="5"/>
      </c:valAx>
      <c:valAx>
        <c:axId val="3200236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1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086"/>
          <c:w val="0.151"/>
          <c:h val="0.738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Video Resistance vs Pwr Lvl</a:t>
            </a:r>
          </a:p>
        </c:rich>
      </c:tx>
      <c:layout>
        <c:manualLayout>
          <c:xMode val="factor"/>
          <c:yMode val="factor"/>
          <c:x val="-0.01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2375"/>
          <c:w val="0.88725"/>
          <c:h val="0.9762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avg.'!$S$203:$S$216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avg.'!$T$203:$T$216</c:f>
              <c:numCache/>
            </c:numRef>
          </c:yVal>
          <c:smooth val="1"/>
        </c:ser>
        <c:ser>
          <c:idx val="6"/>
          <c:order val="2"/>
          <c:tx>
            <c:v>23 deg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avg.'!$U$203:$U$216</c:f>
              <c:numCache/>
            </c:numRef>
          </c:yVal>
          <c:smooth val="1"/>
        </c:ser>
        <c:ser>
          <c:idx val="2"/>
          <c:order val="3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avg.'!$V$203:$V$216</c:f>
              <c:numCache/>
            </c:numRef>
          </c:yVal>
          <c:smooth val="1"/>
        </c:ser>
        <c:ser>
          <c:idx val="3"/>
          <c:order val="4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avg.'!$W$203:$W$216</c:f>
              <c:numCache/>
            </c:numRef>
          </c:yVal>
          <c:smooth val="1"/>
        </c:ser>
        <c:axId val="19585848"/>
        <c:axId val="42054905"/>
      </c:scatterChart>
      <c:valAx>
        <c:axId val="19585848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Input Pwr (dBm)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crossBetween val="midCat"/>
        <c:dispUnits/>
        <c:majorUnit val="5"/>
        <c:minorUnit val="2.5"/>
      </c:valAx>
      <c:valAx>
        <c:axId val="42054905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Video Resistance (K ohms)</a:t>
                </a:r>
              </a:p>
            </c:rich>
          </c:tx>
          <c:layout>
            <c:manualLayout>
              <c:xMode val="factor"/>
              <c:yMode val="factor"/>
              <c:x val="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1715"/>
          <c:w val="0.09975"/>
          <c:h val="0.555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Video Resistance vs Pwr Lvl</a:t>
            </a:r>
          </a:p>
        </c:rich>
      </c:tx>
      <c:layout>
        <c:manualLayout>
          <c:xMode val="factor"/>
          <c:yMode val="factor"/>
          <c:x val="-0.01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24"/>
          <c:w val="0.86875"/>
          <c:h val="0.976"/>
        </c:manualLayout>
      </c:layout>
      <c:scatterChart>
        <c:scatterStyle val="smoothMarker"/>
        <c:varyColors val="0"/>
        <c:ser>
          <c:idx val="1"/>
          <c:order val="0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avg.'!$T$203:$T$216</c:f>
              <c:numCache/>
            </c:numRef>
          </c:yVal>
          <c:smooth val="1"/>
        </c:ser>
        <c:ser>
          <c:idx val="6"/>
          <c:order val="1"/>
          <c:tx>
            <c:v>23 deg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avg.'!$U$203:$U$216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avg.'!$V$203:$V$216</c:f>
              <c:numCache/>
            </c:numRef>
          </c:yVal>
          <c:smooth val="1"/>
        </c:ser>
        <c:axId val="42949826"/>
        <c:axId val="51004115"/>
      </c:scatterChart>
      <c:valAx>
        <c:axId val="42949826"/>
        <c:scaling>
          <c:orientation val="minMax"/>
          <c:max val="2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Input Pwr (dBm)</a:t>
                </a:r>
              </a:p>
            </c:rich>
          </c:tx>
          <c:layout>
            <c:manualLayout>
              <c:xMode val="factor"/>
              <c:yMode val="factor"/>
              <c:x val="0.018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crossBetween val="midCat"/>
        <c:dispUnits/>
        <c:majorUnit val="5"/>
        <c:minorUnit val="2.5"/>
      </c:valAx>
      <c:valAx>
        <c:axId val="51004115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Video Resistance (K ohms)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crossBetween val="midCat"/>
        <c:dispUnits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5975"/>
          <c:w val="0.10125"/>
          <c:h val="0.33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Thermal Drift vs Pwr Lvl @  Variable Rload</a:t>
            </a:r>
          </a:p>
        </c:rich>
      </c:tx>
      <c:layout>
        <c:manualLayout>
          <c:xMode val="factor"/>
          <c:yMode val="factor"/>
          <c:x val="-0.1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4975"/>
          <c:w val="0.8465"/>
          <c:h val="0.944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Rload'!$H$22:$H$35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Rload'!$I$22:$I$35</c:f>
              <c:numCache/>
            </c:numRef>
          </c:yVal>
          <c:smooth val="1"/>
        </c:ser>
        <c:ser>
          <c:idx val="2"/>
          <c:order val="2"/>
          <c:tx>
            <c:v>23 deg (Ref)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Rload'!$J$22:$J$35</c:f>
              <c:numCache/>
            </c:numRef>
          </c:yVal>
          <c:smooth val="1"/>
        </c:ser>
        <c:ser>
          <c:idx val="3"/>
          <c:order val="3"/>
          <c:tx>
            <c:v>50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Rload'!$K$22:$K$35</c:f>
              <c:numCache/>
            </c:numRef>
          </c:yVal>
          <c:smooth val="1"/>
        </c:ser>
        <c:ser>
          <c:idx val="4"/>
          <c:order val="4"/>
          <c:tx>
            <c:v>71 deg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Rload'!$L$22:$L$35</c:f>
              <c:numCache/>
            </c:numRef>
          </c:yVal>
          <c:smooth val="1"/>
        </c:ser>
        <c:axId val="56383852"/>
        <c:axId val="37692621"/>
      </c:scatterChart>
      <c:valAx>
        <c:axId val="5638385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 val="autoZero"/>
        <c:crossBetween val="midCat"/>
        <c:dispUnits/>
        <c:minorUnit val="5"/>
      </c:valAx>
      <c:valAx>
        <c:axId val="3769262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01125"/>
          <c:w val="0.115"/>
          <c:h val="0.8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200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375"/>
          <c:w val="0.9785"/>
          <c:h val="0.9432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avg.'!$M$21:$M$34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avg.'!$N$21:$N$34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avg.'!$P$21:$P$34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avg.'!$Q$21:$Q$34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7067444"/>
        <c:axId val="43844949"/>
      </c:scatterChart>
      <c:valAx>
        <c:axId val="5706744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crossBetween val="midCat"/>
        <c:dispUnits/>
        <c:majorUnit val="5"/>
        <c:minorUnit val="2.5"/>
      </c:valAx>
      <c:valAx>
        <c:axId val="43844949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25"/>
          <c:y val="0"/>
          <c:w val="0.619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50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3"/>
          <c:w val="0.97875"/>
          <c:h val="0.944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avg.'!$M$36:$M$49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avg.'!$N$36:$N$49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avg.'!$P$36:$P$49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avg.'!$Q$36:$Q$49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9060222"/>
        <c:axId val="61779951"/>
      </c:scatterChart>
      <c:valAx>
        <c:axId val="5906022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crossBetween val="midCat"/>
        <c:dispUnits/>
        <c:majorUnit val="5"/>
        <c:minorUnit val="2.5"/>
      </c:valAx>
      <c:valAx>
        <c:axId val="61779951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5"/>
          <c:y val="0"/>
          <c:w val="0.62525"/>
          <c:h val="0.07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55"/>
          <c:w val="0.97825"/>
          <c:h val="0.941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avg.'!$K$51:$K$64</c:f>
              <c:numCache/>
            </c:numRef>
          </c:xVal>
          <c:yVal>
            <c:numRef>
              <c:f>'Detector Prototype data avg.'!$M$51:$M$64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avg.'!$N$51:$N$64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avg.'!$P$51:$P$64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avg.'!$Q$51:$Q$64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19148648"/>
        <c:axId val="38120105"/>
      </c:scatterChart>
      <c:valAx>
        <c:axId val="19148648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crossBetween val="midCat"/>
        <c:dispUnits/>
        <c:majorUnit val="5"/>
        <c:minorUnit val="2.5"/>
      </c:valAx>
      <c:valAx>
        <c:axId val="38120105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10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5"/>
          <c:w val="0.97825"/>
          <c:h val="0.942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avg.'!$M$66:$M$79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avg.'!$N$66:$N$79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avg.'!$P$66:$P$79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avg.'!$Q$66:$Q$79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7536626"/>
        <c:axId val="720771"/>
      </c:scatterChart>
      <c:valAx>
        <c:axId val="753662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crossBetween val="midCat"/>
        <c:dispUnits/>
        <c:majorUnit val="5"/>
        <c:minorUnit val="2.5"/>
      </c:valAx>
      <c:valAx>
        <c:axId val="720771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5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325"/>
          <c:w val="0.9782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avg.'!$M$81:$M$94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avg.'!$N$81:$N$94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avg.'!$P$81:$P$94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avg.'!$Q$81:$Q$94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6486940"/>
        <c:axId val="58382461"/>
      </c:scatterChart>
      <c:valAx>
        <c:axId val="648694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crossBetween val="midCat"/>
        <c:dispUnits/>
        <c:majorUnit val="5"/>
        <c:minorUnit val="2.5"/>
      </c:valAx>
      <c:valAx>
        <c:axId val="58382461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325"/>
          <c:w val="0.9787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avg.'!$M$96:$M$109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avg.'!$N$96:$N$109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avg.'!$P$96:$P$109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avg.'!$Q$96:$Q$109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5680102"/>
        <c:axId val="31358871"/>
      </c:scatterChart>
      <c:valAx>
        <c:axId val="5568010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crossBetween val="midCat"/>
        <c:dispUnits/>
        <c:majorUnit val="5"/>
        <c:minorUnit val="2.5"/>
      </c:valAx>
      <c:valAx>
        <c:axId val="31358871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1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4725"/>
          <c:w val="0.97825"/>
          <c:h val="0.949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avg.'!$M$111:$M$124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avg.'!$N$111:$N$124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avg.'!$P$111:$P$124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avg.'!$Q$111:$Q$124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13794384"/>
        <c:axId val="57040593"/>
      </c:scatterChart>
      <c:valAx>
        <c:axId val="1379438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crossBetween val="midCat"/>
        <c:dispUnits/>
        <c:majorUnit val="5"/>
        <c:minorUnit val="2.5"/>
      </c:valAx>
      <c:valAx>
        <c:axId val="57040593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25"/>
          <c:y val="0"/>
          <c:w val="0.62725"/>
          <c:h val="0.06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10 Mohm</a:t>
            </a:r>
          </a:p>
        </c:rich>
      </c:tx>
      <c:layout>
        <c:manualLayout>
          <c:xMode val="factor"/>
          <c:yMode val="factor"/>
          <c:x val="-0.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8485"/>
          <c:h val="0.961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avg.'!$M$128:$Q$128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avg.'!$M$129:$Q$129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avg.'!$M$130:$Q$130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avg.'!$M$132:$Q$132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avg.'!$M$134:$Q$134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avg.'!$M$135:$Q$135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avg.'!$M$136:$Q$136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avg.'!$M$137:$Q$137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avg.'!$M$138:$Q$138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avg.'!$M$139:$Q$139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avg.'!$M$140:$Q$140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avg.'!$M$141:$Q$141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3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43603290"/>
        <c:axId val="56885291"/>
      </c:scatterChart>
      <c:valAx>
        <c:axId val="43603290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crossBetween val="midCat"/>
        <c:dispUnits/>
        <c:majorUnit val="10"/>
        <c:minorUnit val="5"/>
      </c:valAx>
      <c:valAx>
        <c:axId val="56885291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3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0665"/>
          <c:w val="0.1515"/>
          <c:h val="0.76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762000</xdr:rowOff>
    </xdr:from>
    <xdr:to>
      <xdr:col>28</xdr:col>
      <xdr:colOff>476250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2725400" y="1257300"/>
        <a:ext cx="59626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600075</xdr:colOff>
      <xdr:row>20</xdr:row>
      <xdr:rowOff>200025</xdr:rowOff>
    </xdr:from>
    <xdr:to>
      <xdr:col>28</xdr:col>
      <xdr:colOff>476250</xdr:colOff>
      <xdr:row>35</xdr:row>
      <xdr:rowOff>200025</xdr:rowOff>
    </xdr:to>
    <xdr:graphicFrame>
      <xdr:nvGraphicFramePr>
        <xdr:cNvPr id="2" name="Chart 2"/>
        <xdr:cNvGraphicFramePr/>
      </xdr:nvGraphicFramePr>
      <xdr:xfrm>
        <a:off x="12649200" y="5762625"/>
        <a:ext cx="60388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36</xdr:row>
      <xdr:rowOff>0</xdr:rowOff>
    </xdr:from>
    <xdr:to>
      <xdr:col>28</xdr:col>
      <xdr:colOff>495300</xdr:colOff>
      <xdr:row>51</xdr:row>
      <xdr:rowOff>9525</xdr:rowOff>
    </xdr:to>
    <xdr:graphicFrame>
      <xdr:nvGraphicFramePr>
        <xdr:cNvPr id="3" name="Chart 3"/>
        <xdr:cNvGraphicFramePr/>
      </xdr:nvGraphicFramePr>
      <xdr:xfrm>
        <a:off x="12725400" y="9353550"/>
        <a:ext cx="59817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51</xdr:row>
      <xdr:rowOff>0</xdr:rowOff>
    </xdr:from>
    <xdr:to>
      <xdr:col>28</xdr:col>
      <xdr:colOff>495300</xdr:colOff>
      <xdr:row>66</xdr:row>
      <xdr:rowOff>9525</xdr:rowOff>
    </xdr:to>
    <xdr:graphicFrame>
      <xdr:nvGraphicFramePr>
        <xdr:cNvPr id="4" name="Chart 4"/>
        <xdr:cNvGraphicFramePr/>
      </xdr:nvGraphicFramePr>
      <xdr:xfrm>
        <a:off x="12725400" y="12896850"/>
        <a:ext cx="598170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66</xdr:row>
      <xdr:rowOff>0</xdr:rowOff>
    </xdr:from>
    <xdr:to>
      <xdr:col>28</xdr:col>
      <xdr:colOff>495300</xdr:colOff>
      <xdr:row>81</xdr:row>
      <xdr:rowOff>9525</xdr:rowOff>
    </xdr:to>
    <xdr:graphicFrame>
      <xdr:nvGraphicFramePr>
        <xdr:cNvPr id="5" name="Chart 5"/>
        <xdr:cNvGraphicFramePr/>
      </xdr:nvGraphicFramePr>
      <xdr:xfrm>
        <a:off x="12725400" y="16411575"/>
        <a:ext cx="598170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81</xdr:row>
      <xdr:rowOff>0</xdr:rowOff>
    </xdr:from>
    <xdr:to>
      <xdr:col>28</xdr:col>
      <xdr:colOff>495300</xdr:colOff>
      <xdr:row>96</xdr:row>
      <xdr:rowOff>9525</xdr:rowOff>
    </xdr:to>
    <xdr:graphicFrame>
      <xdr:nvGraphicFramePr>
        <xdr:cNvPr id="6" name="Chart 6"/>
        <xdr:cNvGraphicFramePr/>
      </xdr:nvGraphicFramePr>
      <xdr:xfrm>
        <a:off x="12725400" y="19935825"/>
        <a:ext cx="5981700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96</xdr:row>
      <xdr:rowOff>0</xdr:rowOff>
    </xdr:from>
    <xdr:to>
      <xdr:col>28</xdr:col>
      <xdr:colOff>495300</xdr:colOff>
      <xdr:row>111</xdr:row>
      <xdr:rowOff>9525</xdr:rowOff>
    </xdr:to>
    <xdr:graphicFrame>
      <xdr:nvGraphicFramePr>
        <xdr:cNvPr id="7" name="Chart 7"/>
        <xdr:cNvGraphicFramePr/>
      </xdr:nvGraphicFramePr>
      <xdr:xfrm>
        <a:off x="12725400" y="23469600"/>
        <a:ext cx="598170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19050</xdr:colOff>
      <xdr:row>111</xdr:row>
      <xdr:rowOff>0</xdr:rowOff>
    </xdr:from>
    <xdr:to>
      <xdr:col>28</xdr:col>
      <xdr:colOff>495300</xdr:colOff>
      <xdr:row>126</xdr:row>
      <xdr:rowOff>9525</xdr:rowOff>
    </xdr:to>
    <xdr:graphicFrame>
      <xdr:nvGraphicFramePr>
        <xdr:cNvPr id="8" name="Chart 8"/>
        <xdr:cNvGraphicFramePr/>
      </xdr:nvGraphicFramePr>
      <xdr:xfrm>
        <a:off x="12744450" y="27003375"/>
        <a:ext cx="596265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125</xdr:row>
      <xdr:rowOff>76200</xdr:rowOff>
    </xdr:from>
    <xdr:to>
      <xdr:col>8</xdr:col>
      <xdr:colOff>581025</xdr:colOff>
      <xdr:row>150</xdr:row>
      <xdr:rowOff>57150</xdr:rowOff>
    </xdr:to>
    <xdr:graphicFrame>
      <xdr:nvGraphicFramePr>
        <xdr:cNvPr id="9" name="Chart 9"/>
        <xdr:cNvGraphicFramePr/>
      </xdr:nvGraphicFramePr>
      <xdr:xfrm>
        <a:off x="19050" y="30279975"/>
        <a:ext cx="5934075" cy="668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171</xdr:row>
      <xdr:rowOff>457200</xdr:rowOff>
    </xdr:from>
    <xdr:to>
      <xdr:col>8</xdr:col>
      <xdr:colOff>647700</xdr:colOff>
      <xdr:row>201</xdr:row>
      <xdr:rowOff>47625</xdr:rowOff>
    </xdr:to>
    <xdr:graphicFrame>
      <xdr:nvGraphicFramePr>
        <xdr:cNvPr id="10" name="Chart 11"/>
        <xdr:cNvGraphicFramePr/>
      </xdr:nvGraphicFramePr>
      <xdr:xfrm>
        <a:off x="76200" y="42281475"/>
        <a:ext cx="5943600" cy="6858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202</xdr:row>
      <xdr:rowOff>0</xdr:rowOff>
    </xdr:from>
    <xdr:to>
      <xdr:col>8</xdr:col>
      <xdr:colOff>619125</xdr:colOff>
      <xdr:row>230</xdr:row>
      <xdr:rowOff>161925</xdr:rowOff>
    </xdr:to>
    <xdr:graphicFrame>
      <xdr:nvGraphicFramePr>
        <xdr:cNvPr id="11" name="Chart 12"/>
        <xdr:cNvGraphicFramePr/>
      </xdr:nvGraphicFramePr>
      <xdr:xfrm>
        <a:off x="38100" y="49434750"/>
        <a:ext cx="5953125" cy="684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126</xdr:row>
      <xdr:rowOff>0</xdr:rowOff>
    </xdr:from>
    <xdr:to>
      <xdr:col>29</xdr:col>
      <xdr:colOff>0</xdr:colOff>
      <xdr:row>147</xdr:row>
      <xdr:rowOff>38100</xdr:rowOff>
    </xdr:to>
    <xdr:graphicFrame>
      <xdr:nvGraphicFramePr>
        <xdr:cNvPr id="12" name="Chart 13"/>
        <xdr:cNvGraphicFramePr/>
      </xdr:nvGraphicFramePr>
      <xdr:xfrm>
        <a:off x="12725400" y="31013400"/>
        <a:ext cx="6096000" cy="524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28575</xdr:colOff>
      <xdr:row>148</xdr:row>
      <xdr:rowOff>19050</xdr:rowOff>
    </xdr:from>
    <xdr:to>
      <xdr:col>29</xdr:col>
      <xdr:colOff>38100</xdr:colOff>
      <xdr:row>170</xdr:row>
      <xdr:rowOff>133350</xdr:rowOff>
    </xdr:to>
    <xdr:graphicFrame>
      <xdr:nvGraphicFramePr>
        <xdr:cNvPr id="13" name="Chart 14"/>
        <xdr:cNvGraphicFramePr/>
      </xdr:nvGraphicFramePr>
      <xdr:xfrm>
        <a:off x="12753975" y="36471225"/>
        <a:ext cx="610552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17</xdr:row>
      <xdr:rowOff>104775</xdr:rowOff>
    </xdr:from>
    <xdr:to>
      <xdr:col>22</xdr:col>
      <xdr:colOff>9525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172450" y="3781425"/>
        <a:ext cx="6696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tabSelected="1" workbookViewId="0" topLeftCell="A1">
      <selection activeCell="J4" sqref="J4"/>
    </sheetView>
  </sheetViews>
  <sheetFormatPr defaultColWidth="9.140625" defaultRowHeight="12.75"/>
  <cols>
    <col min="1" max="1" width="9.140625" style="4" customWidth="1"/>
    <col min="3" max="7" width="9.140625" style="3" customWidth="1"/>
    <col min="8" max="8" width="16.57421875" style="3" customWidth="1"/>
    <col min="9" max="10" width="10.00390625" style="5" customWidth="1"/>
    <col min="13" max="13" width="9.00390625" style="0" customWidth="1"/>
    <col min="18" max="18" width="16.28125" style="0" customWidth="1"/>
    <col min="19" max="19" width="10.140625" style="0" customWidth="1"/>
  </cols>
  <sheetData>
    <row r="1" spans="1:16" ht="12.75">
      <c r="A1" s="101" t="s">
        <v>75</v>
      </c>
      <c r="C1" s="217" t="s">
        <v>72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2.75">
      <c r="A2" s="87" t="s">
        <v>76</v>
      </c>
      <c r="I2" s="102"/>
      <c r="J2" s="102"/>
      <c r="K2" s="102"/>
      <c r="L2" s="102"/>
      <c r="M2" s="102"/>
      <c r="N2" s="102"/>
      <c r="O2" s="102"/>
      <c r="P2" s="102"/>
    </row>
    <row r="3" spans="4:11" ht="13.5" thickBot="1">
      <c r="D3" s="3" t="s">
        <v>74</v>
      </c>
      <c r="H3" s="3" t="s">
        <v>13</v>
      </c>
      <c r="K3" t="s">
        <v>16</v>
      </c>
    </row>
    <row r="4" spans="1:19" s="2" customFormat="1" ht="60.75" customHeight="1" thickTop="1">
      <c r="A4" s="9" t="s">
        <v>0</v>
      </c>
      <c r="B4" s="73" t="s">
        <v>2</v>
      </c>
      <c r="C4" s="211" t="s">
        <v>11</v>
      </c>
      <c r="D4" s="212"/>
      <c r="E4" s="212"/>
      <c r="F4" s="212"/>
      <c r="G4" s="213"/>
      <c r="H4" s="164" t="s">
        <v>12</v>
      </c>
      <c r="I4" s="166" t="s">
        <v>15</v>
      </c>
      <c r="J4" s="13"/>
      <c r="K4" s="104" t="s">
        <v>0</v>
      </c>
      <c r="L4" s="105" t="s">
        <v>2</v>
      </c>
      <c r="M4" s="214" t="s">
        <v>11</v>
      </c>
      <c r="N4" s="215"/>
      <c r="O4" s="215"/>
      <c r="P4" s="215"/>
      <c r="Q4" s="216"/>
      <c r="R4" s="106" t="s">
        <v>12</v>
      </c>
      <c r="S4" s="103"/>
    </row>
    <row r="5" spans="1:18" s="2" customFormat="1" ht="60" customHeight="1" thickBot="1">
      <c r="A5" s="63" t="s">
        <v>1</v>
      </c>
      <c r="B5" s="74" t="s">
        <v>3</v>
      </c>
      <c r="C5" s="75" t="s">
        <v>28</v>
      </c>
      <c r="D5" s="64" t="s">
        <v>7</v>
      </c>
      <c r="E5" s="64" t="s">
        <v>9</v>
      </c>
      <c r="F5" s="64" t="s">
        <v>8</v>
      </c>
      <c r="G5" s="76" t="s">
        <v>10</v>
      </c>
      <c r="H5" s="165" t="s">
        <v>73</v>
      </c>
      <c r="I5" s="167" t="s">
        <v>14</v>
      </c>
      <c r="J5" s="13"/>
      <c r="K5" s="107" t="s">
        <v>1</v>
      </c>
      <c r="L5" s="108" t="s">
        <v>3</v>
      </c>
      <c r="M5" s="109" t="s">
        <v>28</v>
      </c>
      <c r="N5" s="110" t="s">
        <v>7</v>
      </c>
      <c r="O5" s="110" t="s">
        <v>9</v>
      </c>
      <c r="P5" s="110" t="s">
        <v>8</v>
      </c>
      <c r="Q5" s="111" t="s">
        <v>10</v>
      </c>
      <c r="R5" s="112" t="s">
        <v>5</v>
      </c>
    </row>
    <row r="6" spans="1:19" ht="18" customHeight="1" thickTop="1">
      <c r="A6" s="66">
        <v>18</v>
      </c>
      <c r="B6" s="31">
        <v>10000</v>
      </c>
      <c r="C6" s="77">
        <v>1.17</v>
      </c>
      <c r="D6" s="67">
        <v>0.71</v>
      </c>
      <c r="E6" s="68">
        <v>1.5924</v>
      </c>
      <c r="F6" s="67">
        <v>-0.791</v>
      </c>
      <c r="G6" s="69">
        <v>-1.856</v>
      </c>
      <c r="H6" s="69">
        <v>26.28</v>
      </c>
      <c r="I6" s="168"/>
      <c r="K6" s="113">
        <v>18</v>
      </c>
      <c r="L6" s="114">
        <v>10000</v>
      </c>
      <c r="M6" s="115">
        <v>1.17</v>
      </c>
      <c r="N6" s="129">
        <v>0.71</v>
      </c>
      <c r="O6" s="130">
        <v>1.5924</v>
      </c>
      <c r="P6" s="129">
        <v>-0.791</v>
      </c>
      <c r="Q6" s="115">
        <v>-1.856</v>
      </c>
      <c r="R6" s="116">
        <v>26.28</v>
      </c>
      <c r="S6" s="5"/>
    </row>
    <row r="7" spans="1:19" ht="18" customHeight="1">
      <c r="A7" s="32">
        <v>18</v>
      </c>
      <c r="B7" s="18">
        <v>200</v>
      </c>
      <c r="C7" s="78">
        <v>1.17</v>
      </c>
      <c r="D7" s="19">
        <v>0.71</v>
      </c>
      <c r="E7" s="21">
        <v>1.5876</v>
      </c>
      <c r="F7" s="19">
        <v>-0.79</v>
      </c>
      <c r="G7" s="26">
        <v>-1.851</v>
      </c>
      <c r="H7" s="26">
        <v>26.23</v>
      </c>
      <c r="I7" s="169">
        <f>B7*((E$6/E7)-1)</f>
        <v>0.6046863189720586</v>
      </c>
      <c r="K7" s="117">
        <v>15</v>
      </c>
      <c r="L7" s="118">
        <v>10000</v>
      </c>
      <c r="M7" s="119">
        <v>1.067</v>
      </c>
      <c r="N7" s="131">
        <v>0.64</v>
      </c>
      <c r="O7" s="132">
        <v>1.2243</v>
      </c>
      <c r="P7" s="131">
        <v>-0.83</v>
      </c>
      <c r="Q7" s="119">
        <v>-1.35</v>
      </c>
      <c r="R7" s="120">
        <v>23.96</v>
      </c>
      <c r="S7" s="5"/>
    </row>
    <row r="8" spans="1:19" ht="18" customHeight="1">
      <c r="A8" s="32">
        <v>18</v>
      </c>
      <c r="B8" s="18">
        <v>50</v>
      </c>
      <c r="C8" s="78">
        <v>1.157</v>
      </c>
      <c r="D8" s="19">
        <v>0.7</v>
      </c>
      <c r="E8" s="21">
        <v>1.5734</v>
      </c>
      <c r="F8" s="19">
        <v>-0.78</v>
      </c>
      <c r="G8" s="26">
        <v>-1.84</v>
      </c>
      <c r="H8" s="26">
        <v>26.05</v>
      </c>
      <c r="I8" s="169">
        <f aca="true" t="shared" si="0" ref="I8:I13">B8*((E$6/E8)-1)</f>
        <v>0.6037879750858011</v>
      </c>
      <c r="K8" s="117">
        <v>13</v>
      </c>
      <c r="L8" s="118">
        <v>10000</v>
      </c>
      <c r="M8" s="119">
        <v>0.988</v>
      </c>
      <c r="N8" s="131">
        <v>0.619</v>
      </c>
      <c r="O8" s="132">
        <v>1.01029</v>
      </c>
      <c r="P8" s="131">
        <v>-0.723</v>
      </c>
      <c r="Q8" s="119">
        <v>-1.294</v>
      </c>
      <c r="R8" s="120">
        <v>23.3</v>
      </c>
      <c r="S8" s="5"/>
    </row>
    <row r="9" spans="1:19" ht="18" customHeight="1">
      <c r="A9" s="32">
        <v>18</v>
      </c>
      <c r="B9" s="18">
        <v>20</v>
      </c>
      <c r="C9" s="78">
        <v>1.127</v>
      </c>
      <c r="D9" s="19">
        <v>0.68</v>
      </c>
      <c r="E9" s="21">
        <v>1.546</v>
      </c>
      <c r="F9" s="19">
        <v>-0.77</v>
      </c>
      <c r="G9" s="26">
        <v>-1.806</v>
      </c>
      <c r="H9" s="26">
        <v>25.76</v>
      </c>
      <c r="I9" s="169">
        <f t="shared" si="0"/>
        <v>0.6002587322121622</v>
      </c>
      <c r="K9" s="117">
        <v>12</v>
      </c>
      <c r="L9" s="118">
        <v>10000</v>
      </c>
      <c r="M9" s="119">
        <v>0.931</v>
      </c>
      <c r="N9" s="131">
        <v>0.605</v>
      </c>
      <c r="O9" s="132">
        <v>0.915211</v>
      </c>
      <c r="P9" s="131">
        <v>-0.662</v>
      </c>
      <c r="Q9" s="119">
        <v>-1.225</v>
      </c>
      <c r="R9" s="120">
        <v>22.66</v>
      </c>
      <c r="S9" s="5"/>
    </row>
    <row r="10" spans="1:19" ht="18" customHeight="1">
      <c r="A10" s="32">
        <v>18</v>
      </c>
      <c r="B10" s="18">
        <v>10</v>
      </c>
      <c r="C10" s="78">
        <v>1.086</v>
      </c>
      <c r="D10" s="19">
        <v>0.664</v>
      </c>
      <c r="E10" s="21">
        <v>1.5017</v>
      </c>
      <c r="F10" s="19">
        <v>-0.74</v>
      </c>
      <c r="G10" s="26">
        <v>-1.75</v>
      </c>
      <c r="H10" s="26">
        <v>25.32</v>
      </c>
      <c r="I10" s="169">
        <f t="shared" si="0"/>
        <v>0.6039821535592993</v>
      </c>
      <c r="K10" s="117">
        <v>9</v>
      </c>
      <c r="L10" s="118">
        <v>10000</v>
      </c>
      <c r="M10" s="119">
        <v>0.681</v>
      </c>
      <c r="N10" s="131">
        <v>0.428</v>
      </c>
      <c r="O10" s="132">
        <v>0.674748</v>
      </c>
      <c r="P10" s="131">
        <v>-0.649</v>
      </c>
      <c r="Q10" s="119">
        <v>-1.123</v>
      </c>
      <c r="R10" s="120">
        <v>19.95</v>
      </c>
      <c r="S10" s="5"/>
    </row>
    <row r="11" spans="1:19" ht="18" customHeight="1">
      <c r="A11" s="32">
        <v>18</v>
      </c>
      <c r="B11" s="18">
        <v>5</v>
      </c>
      <c r="C11" s="78">
        <v>1.011</v>
      </c>
      <c r="D11" s="19">
        <v>0.623</v>
      </c>
      <c r="E11" s="21">
        <v>1.4204</v>
      </c>
      <c r="F11" s="19">
        <v>-0.7</v>
      </c>
      <c r="G11" s="26">
        <v>-1.68</v>
      </c>
      <c r="H11" s="26">
        <v>24.69</v>
      </c>
      <c r="I11" s="169">
        <f t="shared" si="0"/>
        <v>0.6054632497887913</v>
      </c>
      <c r="K11" s="117">
        <v>7</v>
      </c>
      <c r="L11" s="118">
        <v>10000</v>
      </c>
      <c r="M11" s="119">
        <v>0.722</v>
      </c>
      <c r="N11" s="131">
        <v>0.44</v>
      </c>
      <c r="O11" s="132">
        <v>0.535691</v>
      </c>
      <c r="P11" s="131">
        <v>-0.58</v>
      </c>
      <c r="Q11" s="119">
        <v>-1.13</v>
      </c>
      <c r="R11" s="120">
        <v>20.88</v>
      </c>
      <c r="S11" s="5"/>
    </row>
    <row r="12" spans="1:19" ht="18" customHeight="1">
      <c r="A12" s="32">
        <v>18</v>
      </c>
      <c r="B12" s="18">
        <v>2</v>
      </c>
      <c r="C12" s="78">
        <v>0.853</v>
      </c>
      <c r="D12" s="19">
        <v>0.533</v>
      </c>
      <c r="E12" s="21">
        <v>1.2247</v>
      </c>
      <c r="F12" s="19">
        <v>-0.62</v>
      </c>
      <c r="G12" s="26">
        <v>-1.54</v>
      </c>
      <c r="H12" s="26">
        <v>23.45</v>
      </c>
      <c r="I12" s="169">
        <f t="shared" si="0"/>
        <v>0.6004735853678453</v>
      </c>
      <c r="K12" s="117">
        <v>6</v>
      </c>
      <c r="L12" s="118">
        <v>10000</v>
      </c>
      <c r="M12" s="119">
        <v>0.553</v>
      </c>
      <c r="N12" s="131">
        <v>0.303</v>
      </c>
      <c r="O12" s="132">
        <v>0.47977</v>
      </c>
      <c r="P12" s="131">
        <v>-0.582</v>
      </c>
      <c r="Q12" s="119">
        <v>-1.04</v>
      </c>
      <c r="R12" s="120">
        <v>18.38</v>
      </c>
      <c r="S12" s="5"/>
    </row>
    <row r="13" spans="1:19" ht="18" customHeight="1" thickBot="1">
      <c r="A13" s="33">
        <v>18</v>
      </c>
      <c r="B13" s="34">
        <v>1</v>
      </c>
      <c r="C13" s="79">
        <v>0.714</v>
      </c>
      <c r="D13" s="38">
        <v>0.459</v>
      </c>
      <c r="E13" s="70">
        <v>0.99885</v>
      </c>
      <c r="F13" s="38">
        <v>-0.54</v>
      </c>
      <c r="G13" s="37">
        <v>-1.4</v>
      </c>
      <c r="H13" s="37">
        <v>22.35</v>
      </c>
      <c r="I13" s="170">
        <f t="shared" si="0"/>
        <v>0.5942333683736296</v>
      </c>
      <c r="K13" s="117">
        <v>3</v>
      </c>
      <c r="L13" s="118">
        <v>10000</v>
      </c>
      <c r="M13" s="119">
        <v>0.512</v>
      </c>
      <c r="N13" s="131">
        <v>0.348</v>
      </c>
      <c r="O13" s="132">
        <v>0.329466</v>
      </c>
      <c r="P13" s="131">
        <v>-0.477</v>
      </c>
      <c r="Q13" s="119">
        <v>-1.004</v>
      </c>
      <c r="R13" s="120">
        <v>17.27</v>
      </c>
      <c r="S13" s="5"/>
    </row>
    <row r="14" spans="1:19" ht="18" customHeight="1">
      <c r="A14" s="66">
        <v>15</v>
      </c>
      <c r="B14" s="31">
        <v>10000</v>
      </c>
      <c r="C14" s="77">
        <v>1.067</v>
      </c>
      <c r="D14" s="67">
        <v>0.64</v>
      </c>
      <c r="E14" s="68">
        <v>1.2243</v>
      </c>
      <c r="F14" s="67">
        <v>-0.83</v>
      </c>
      <c r="G14" s="69">
        <v>-1.35</v>
      </c>
      <c r="H14" s="69">
        <v>23.96</v>
      </c>
      <c r="I14" s="169"/>
      <c r="K14" s="117">
        <v>0</v>
      </c>
      <c r="L14" s="118">
        <v>10000</v>
      </c>
      <c r="M14" s="119">
        <v>0.588</v>
      </c>
      <c r="N14" s="131">
        <v>0.358</v>
      </c>
      <c r="O14" s="132">
        <v>0.220845</v>
      </c>
      <c r="P14" s="131">
        <v>-0.488</v>
      </c>
      <c r="Q14" s="119">
        <v>-1.001</v>
      </c>
      <c r="R14" s="120">
        <v>17.05</v>
      </c>
      <c r="S14" s="5"/>
    </row>
    <row r="15" spans="1:19" ht="18" customHeight="1">
      <c r="A15" s="32">
        <v>15</v>
      </c>
      <c r="B15" s="18">
        <v>200</v>
      </c>
      <c r="C15" s="78">
        <v>1.048</v>
      </c>
      <c r="D15" s="19">
        <v>0.628</v>
      </c>
      <c r="E15" s="21">
        <v>1.22</v>
      </c>
      <c r="F15" s="19">
        <v>-0.824</v>
      </c>
      <c r="G15" s="26">
        <v>-1.332</v>
      </c>
      <c r="H15" s="26">
        <v>23.75</v>
      </c>
      <c r="I15" s="169">
        <f>B15*((E$14/E15)-1)</f>
        <v>0.7049180327868942</v>
      </c>
      <c r="K15" s="121">
        <v>-3</v>
      </c>
      <c r="L15" s="118">
        <v>10000</v>
      </c>
      <c r="M15" s="119">
        <f>0.409*1.55</f>
        <v>0.63395</v>
      </c>
      <c r="N15" s="131">
        <f>0.225*1.55</f>
        <v>0.34875</v>
      </c>
      <c r="O15" s="132">
        <v>0.147293</v>
      </c>
      <c r="P15" s="131">
        <f>-0.317*1.55</f>
        <v>-0.49135</v>
      </c>
      <c r="Q15" s="119">
        <f>-0.659*1.55</f>
        <v>-1.02145</v>
      </c>
      <c r="R15" s="120">
        <v>15.5</v>
      </c>
      <c r="S15" s="5"/>
    </row>
    <row r="16" spans="1:19" ht="18" customHeight="1">
      <c r="A16" s="32">
        <v>15</v>
      </c>
      <c r="B16" s="18">
        <v>50</v>
      </c>
      <c r="C16" s="78">
        <v>1.019</v>
      </c>
      <c r="D16" s="19">
        <v>0.617</v>
      </c>
      <c r="E16" s="21">
        <v>1.20697</v>
      </c>
      <c r="F16" s="19">
        <v>-0.818</v>
      </c>
      <c r="G16" s="26">
        <v>-1.306</v>
      </c>
      <c r="H16" s="26">
        <v>23.55</v>
      </c>
      <c r="I16" s="169">
        <f aca="true" t="shared" si="1" ref="I16:I21">B16*((E$14/E16)-1)</f>
        <v>0.7179134526955844</v>
      </c>
      <c r="K16" s="117">
        <v>-8</v>
      </c>
      <c r="L16" s="118">
        <v>10000</v>
      </c>
      <c r="M16" s="119">
        <v>0.73</v>
      </c>
      <c r="N16" s="131">
        <v>0.36</v>
      </c>
      <c r="O16" s="132">
        <v>0.071035</v>
      </c>
      <c r="P16" s="131">
        <v>-0.557</v>
      </c>
      <c r="Q16" s="119">
        <v>-1.25</v>
      </c>
      <c r="R16" s="120">
        <v>13.82</v>
      </c>
      <c r="S16" s="5"/>
    </row>
    <row r="17" spans="1:19" ht="18" customHeight="1">
      <c r="A17" s="32">
        <v>15</v>
      </c>
      <c r="B17" s="18">
        <v>20</v>
      </c>
      <c r="C17" s="78">
        <v>0.974</v>
      </c>
      <c r="D17" s="19">
        <v>0.586</v>
      </c>
      <c r="E17" s="21">
        <v>1.1822</v>
      </c>
      <c r="F17" s="19">
        <v>-0.8</v>
      </c>
      <c r="G17" s="26">
        <v>-1.28</v>
      </c>
      <c r="H17" s="26">
        <v>23.42</v>
      </c>
      <c r="I17" s="169">
        <f t="shared" si="1"/>
        <v>0.7122314329216728</v>
      </c>
      <c r="K17" s="117">
        <v>-12</v>
      </c>
      <c r="L17" s="118">
        <v>10000</v>
      </c>
      <c r="M17" s="119">
        <v>0.739</v>
      </c>
      <c r="N17" s="131">
        <v>0.477</v>
      </c>
      <c r="O17" s="132">
        <v>0.036471</v>
      </c>
      <c r="P17" s="131">
        <v>-0.762</v>
      </c>
      <c r="Q17" s="119">
        <v>-1.313</v>
      </c>
      <c r="R17" s="120">
        <v>12.91</v>
      </c>
      <c r="S17" s="5"/>
    </row>
    <row r="18" spans="1:19" ht="18" customHeight="1">
      <c r="A18" s="32">
        <v>15</v>
      </c>
      <c r="B18" s="18">
        <v>10</v>
      </c>
      <c r="C18" s="78">
        <v>0.913</v>
      </c>
      <c r="D18" s="19">
        <v>0.553</v>
      </c>
      <c r="E18" s="21">
        <v>1.14312</v>
      </c>
      <c r="F18" s="19">
        <v>-0.75</v>
      </c>
      <c r="G18" s="26">
        <v>-1.222</v>
      </c>
      <c r="H18" s="26">
        <v>23.15</v>
      </c>
      <c r="I18" s="169">
        <f t="shared" si="1"/>
        <v>0.7101616628175522</v>
      </c>
      <c r="K18" s="117">
        <v>-17</v>
      </c>
      <c r="L18" s="118">
        <v>10000</v>
      </c>
      <c r="M18" s="119">
        <v>1.007</v>
      </c>
      <c r="N18" s="131">
        <v>0.623</v>
      </c>
      <c r="O18" s="132">
        <v>0.01495</v>
      </c>
      <c r="P18" s="131">
        <v>-0.88</v>
      </c>
      <c r="Q18" s="119">
        <v>-1.484</v>
      </c>
      <c r="R18" s="120">
        <v>13.66</v>
      </c>
      <c r="S18" s="5"/>
    </row>
    <row r="19" spans="1:18" ht="16.5" customHeight="1">
      <c r="A19" s="32">
        <v>15</v>
      </c>
      <c r="B19" s="18">
        <v>5</v>
      </c>
      <c r="C19" s="78">
        <v>0.781</v>
      </c>
      <c r="D19" s="19">
        <v>0.498</v>
      </c>
      <c r="E19" s="21">
        <v>1.07374</v>
      </c>
      <c r="F19" s="19">
        <v>-0.699</v>
      </c>
      <c r="G19" s="26">
        <v>-1.137</v>
      </c>
      <c r="H19" s="26">
        <v>22.46</v>
      </c>
      <c r="I19" s="169">
        <f t="shared" si="1"/>
        <v>0.7011008251532025</v>
      </c>
      <c r="K19" s="117">
        <v>-20</v>
      </c>
      <c r="L19" s="118">
        <v>10000</v>
      </c>
      <c r="M19" s="119">
        <v>1.108</v>
      </c>
      <c r="N19" s="131">
        <v>0.604</v>
      </c>
      <c r="O19" s="132">
        <v>0.009017</v>
      </c>
      <c r="P19" s="131">
        <v>-0.859</v>
      </c>
      <c r="Q19" s="119">
        <v>-0.874</v>
      </c>
      <c r="R19" s="120">
        <v>12.23</v>
      </c>
    </row>
    <row r="20" spans="1:19" ht="27.75" customHeight="1">
      <c r="A20" s="32">
        <v>15</v>
      </c>
      <c r="B20" s="18">
        <v>2</v>
      </c>
      <c r="C20" s="78">
        <v>0.57</v>
      </c>
      <c r="D20" s="19">
        <v>0.386</v>
      </c>
      <c r="E20" s="21">
        <v>0.9122</v>
      </c>
      <c r="F20" s="19">
        <v>-0.601</v>
      </c>
      <c r="G20" s="26">
        <v>-0.955</v>
      </c>
      <c r="H20" s="26">
        <v>21.25</v>
      </c>
      <c r="I20" s="169">
        <f t="shared" si="1"/>
        <v>0.6842797632098221</v>
      </c>
      <c r="K20" s="122"/>
      <c r="L20" s="118"/>
      <c r="M20" s="123"/>
      <c r="N20" s="133"/>
      <c r="O20" s="134"/>
      <c r="P20" s="133"/>
      <c r="Q20" s="123"/>
      <c r="R20" s="124"/>
      <c r="S20" s="1" t="s">
        <v>23</v>
      </c>
    </row>
    <row r="21" spans="1:19" ht="16.5" customHeight="1" thickBot="1">
      <c r="A21" s="33">
        <v>15</v>
      </c>
      <c r="B21" s="34">
        <v>1</v>
      </c>
      <c r="C21" s="79">
        <v>0.427</v>
      </c>
      <c r="D21" s="38">
        <v>0.303</v>
      </c>
      <c r="E21" s="70">
        <v>0.73328</v>
      </c>
      <c r="F21" s="38">
        <v>-0.507</v>
      </c>
      <c r="G21" s="37">
        <v>-0.797</v>
      </c>
      <c r="H21" s="37">
        <v>20.41</v>
      </c>
      <c r="I21" s="170">
        <f t="shared" si="1"/>
        <v>0.6696214270128735</v>
      </c>
      <c r="K21" s="117">
        <v>18</v>
      </c>
      <c r="L21" s="118">
        <v>200</v>
      </c>
      <c r="M21" s="119">
        <v>1.17</v>
      </c>
      <c r="N21" s="131">
        <v>0.71</v>
      </c>
      <c r="O21" s="132">
        <v>1.5876</v>
      </c>
      <c r="P21" s="131">
        <v>-0.79</v>
      </c>
      <c r="Q21" s="119">
        <v>-1.851</v>
      </c>
      <c r="R21" s="120">
        <v>26.23</v>
      </c>
      <c r="S21" s="5">
        <f>L21*((E$6/O21)-1)</f>
        <v>0.6046863189720586</v>
      </c>
    </row>
    <row r="22" spans="1:19" ht="18" customHeight="1">
      <c r="A22" s="66">
        <v>13</v>
      </c>
      <c r="B22" s="31">
        <v>10000</v>
      </c>
      <c r="C22" s="77">
        <v>0.988</v>
      </c>
      <c r="D22" s="67">
        <v>0.619</v>
      </c>
      <c r="E22" s="68">
        <v>1.01029</v>
      </c>
      <c r="F22" s="67">
        <v>-0.723</v>
      </c>
      <c r="G22" s="69">
        <v>-1.294</v>
      </c>
      <c r="H22" s="69">
        <v>23.3</v>
      </c>
      <c r="I22" s="169"/>
      <c r="K22" s="117">
        <v>15</v>
      </c>
      <c r="L22" s="118">
        <v>200</v>
      </c>
      <c r="M22" s="119">
        <v>1.048</v>
      </c>
      <c r="N22" s="131">
        <v>0.628</v>
      </c>
      <c r="O22" s="132">
        <v>1.22</v>
      </c>
      <c r="P22" s="131">
        <v>-0.824</v>
      </c>
      <c r="Q22" s="119">
        <v>-1.332</v>
      </c>
      <c r="R22" s="120">
        <v>23.75</v>
      </c>
      <c r="S22" s="5">
        <f>L22*((E$15/O22)-1)</f>
        <v>0</v>
      </c>
    </row>
    <row r="23" spans="1:19" ht="18" customHeight="1">
      <c r="A23" s="32">
        <v>13</v>
      </c>
      <c r="B23" s="18">
        <v>200</v>
      </c>
      <c r="C23" s="78">
        <v>0.997</v>
      </c>
      <c r="D23" s="19">
        <v>0.632</v>
      </c>
      <c r="E23" s="21">
        <v>1.00497</v>
      </c>
      <c r="F23" s="19">
        <v>-0.723</v>
      </c>
      <c r="G23" s="26">
        <v>-1.289</v>
      </c>
      <c r="H23" s="26">
        <v>23.51</v>
      </c>
      <c r="I23" s="169">
        <f>B23*((E$22/E23)-1)</f>
        <v>1.0587380717832495</v>
      </c>
      <c r="K23" s="117">
        <v>13</v>
      </c>
      <c r="L23" s="118">
        <v>200</v>
      </c>
      <c r="M23" s="119">
        <v>0.997</v>
      </c>
      <c r="N23" s="131">
        <v>0.632</v>
      </c>
      <c r="O23" s="132">
        <v>1.00497</v>
      </c>
      <c r="P23" s="131">
        <v>-0.723</v>
      </c>
      <c r="Q23" s="119">
        <v>-1.289</v>
      </c>
      <c r="R23" s="120">
        <v>23.51</v>
      </c>
      <c r="S23" s="5">
        <f>L23*((E$22/O23)-1)</f>
        <v>1.0587380717832495</v>
      </c>
    </row>
    <row r="24" spans="1:19" ht="18" customHeight="1">
      <c r="A24" s="32">
        <v>13</v>
      </c>
      <c r="B24" s="18">
        <v>50</v>
      </c>
      <c r="C24" s="78">
        <v>0.96</v>
      </c>
      <c r="D24" s="19">
        <v>0.614</v>
      </c>
      <c r="E24" s="21">
        <v>0.9926</v>
      </c>
      <c r="F24" s="19">
        <v>0.698</v>
      </c>
      <c r="G24" s="26">
        <v>-1.26</v>
      </c>
      <c r="H24" s="26">
        <v>23.47</v>
      </c>
      <c r="I24" s="169">
        <f aca="true" t="shared" si="2" ref="I24:I29">B24*((E$22/E24)-1)</f>
        <v>0.8910940963127056</v>
      </c>
      <c r="K24" s="117">
        <v>12</v>
      </c>
      <c r="L24" s="118">
        <v>200</v>
      </c>
      <c r="M24" s="119">
        <v>0.916</v>
      </c>
      <c r="N24" s="131">
        <v>0.598</v>
      </c>
      <c r="O24" s="132">
        <v>0.91119</v>
      </c>
      <c r="P24" s="131">
        <v>-0.651</v>
      </c>
      <c r="Q24" s="119">
        <v>-1.229</v>
      </c>
      <c r="R24" s="120">
        <v>22.62</v>
      </c>
      <c r="S24" s="5">
        <f>L24*((E$30/O24)-1)</f>
        <v>0.882582117889763</v>
      </c>
    </row>
    <row r="25" spans="1:19" ht="18" customHeight="1">
      <c r="A25" s="32">
        <v>13</v>
      </c>
      <c r="B25" s="18">
        <v>20</v>
      </c>
      <c r="C25" s="78">
        <v>0.841</v>
      </c>
      <c r="D25" s="19">
        <v>0.536</v>
      </c>
      <c r="E25" s="21">
        <v>0.9711</v>
      </c>
      <c r="F25" s="19">
        <v>-0.665</v>
      </c>
      <c r="G25" s="26">
        <v>-1.205</v>
      </c>
      <c r="H25" s="26">
        <v>22.65</v>
      </c>
      <c r="I25" s="169">
        <f t="shared" si="2"/>
        <v>0.8071259396560571</v>
      </c>
      <c r="K25" s="117">
        <v>9</v>
      </c>
      <c r="L25" s="118">
        <v>200</v>
      </c>
      <c r="M25" s="119">
        <v>0.643</v>
      </c>
      <c r="N25" s="131">
        <v>0.409</v>
      </c>
      <c r="O25" s="132">
        <v>0.671435</v>
      </c>
      <c r="P25" s="131">
        <v>-0.634</v>
      </c>
      <c r="Q25" s="119">
        <v>-1.11</v>
      </c>
      <c r="R25" s="120">
        <v>19.84</v>
      </c>
      <c r="S25" s="5">
        <f>L25*((E$38/O25)-1)</f>
        <v>0.9868416153462345</v>
      </c>
    </row>
    <row r="26" spans="1:19" ht="18" customHeight="1">
      <c r="A26" s="32">
        <v>13</v>
      </c>
      <c r="B26" s="18">
        <v>10</v>
      </c>
      <c r="C26" s="78">
        <v>0.723</v>
      </c>
      <c r="D26" s="19">
        <v>0.486</v>
      </c>
      <c r="E26" s="21">
        <v>0.936898</v>
      </c>
      <c r="F26" s="19">
        <v>-0.612</v>
      </c>
      <c r="G26" s="26">
        <v>-1.098</v>
      </c>
      <c r="H26" s="26">
        <v>21.74</v>
      </c>
      <c r="I26" s="169">
        <f t="shared" si="2"/>
        <v>0.7833510157989432</v>
      </c>
      <c r="K26" s="117">
        <v>7</v>
      </c>
      <c r="L26" s="118">
        <v>200</v>
      </c>
      <c r="M26" s="119">
        <v>0.663</v>
      </c>
      <c r="N26" s="131">
        <v>0.416</v>
      </c>
      <c r="O26" s="132">
        <v>0.53238</v>
      </c>
      <c r="P26" s="131">
        <v>-0.564</v>
      </c>
      <c r="Q26" s="119">
        <v>-1.107</v>
      </c>
      <c r="R26" s="120">
        <v>20.79</v>
      </c>
      <c r="S26" s="5">
        <f>L26*((E$46/O26)-1)</f>
        <v>1.2438483789774413</v>
      </c>
    </row>
    <row r="27" spans="1:19" ht="18" customHeight="1">
      <c r="A27" s="32">
        <v>13</v>
      </c>
      <c r="B27" s="18">
        <v>5</v>
      </c>
      <c r="C27" s="78">
        <v>0.608</v>
      </c>
      <c r="D27" s="19">
        <v>0.423</v>
      </c>
      <c r="E27" s="21">
        <v>0.874649</v>
      </c>
      <c r="F27" s="19">
        <v>-0.551</v>
      </c>
      <c r="G27" s="26">
        <v>-0.995</v>
      </c>
      <c r="H27" s="26">
        <v>21.24</v>
      </c>
      <c r="I27" s="169">
        <f t="shared" si="2"/>
        <v>0.7754024757359801</v>
      </c>
      <c r="K27" s="117">
        <v>6</v>
      </c>
      <c r="L27" s="118">
        <v>200</v>
      </c>
      <c r="M27" s="119">
        <v>0.49</v>
      </c>
      <c r="N27" s="131">
        <v>0.281</v>
      </c>
      <c r="O27" s="132">
        <v>0.476555</v>
      </c>
      <c r="P27" s="131">
        <v>-0.57</v>
      </c>
      <c r="Q27" s="119">
        <v>-1.01</v>
      </c>
      <c r="R27" s="120">
        <v>18.29</v>
      </c>
      <c r="S27" s="5">
        <f>L27*((E$54/O27)-1)</f>
        <v>1.3492671360073594</v>
      </c>
    </row>
    <row r="28" spans="1:19" ht="18" customHeight="1">
      <c r="A28" s="32">
        <v>13</v>
      </c>
      <c r="B28" s="18">
        <v>2</v>
      </c>
      <c r="C28" s="78">
        <v>0.41</v>
      </c>
      <c r="D28" s="19">
        <v>0.313</v>
      </c>
      <c r="E28" s="21">
        <v>0.73449</v>
      </c>
      <c r="F28" s="19">
        <v>-0.44</v>
      </c>
      <c r="G28" s="26">
        <v>-0.806</v>
      </c>
      <c r="H28" s="26">
        <v>20.31</v>
      </c>
      <c r="I28" s="169">
        <f t="shared" si="2"/>
        <v>0.7509972906370406</v>
      </c>
      <c r="K28" s="117">
        <v>3</v>
      </c>
      <c r="L28" s="118">
        <v>200</v>
      </c>
      <c r="M28" s="119">
        <v>0.409</v>
      </c>
      <c r="N28" s="131">
        <v>0.31</v>
      </c>
      <c r="O28" s="132">
        <v>0.326654</v>
      </c>
      <c r="P28" s="131">
        <v>-0.45</v>
      </c>
      <c r="Q28" s="119">
        <v>-0.972</v>
      </c>
      <c r="R28" s="120">
        <v>17.2</v>
      </c>
      <c r="S28" s="5">
        <f>L28*((E$62/O28)-1)</f>
        <v>1.7216994128343543</v>
      </c>
    </row>
    <row r="29" spans="1:19" ht="18" customHeight="1" thickBot="1">
      <c r="A29" s="33">
        <v>13</v>
      </c>
      <c r="B29" s="34">
        <v>1</v>
      </c>
      <c r="C29" s="79">
        <v>0.27</v>
      </c>
      <c r="D29" s="38">
        <v>0.232</v>
      </c>
      <c r="E29" s="70">
        <v>0.58519</v>
      </c>
      <c r="F29" s="38">
        <v>-0.351</v>
      </c>
      <c r="G29" s="37">
        <v>-0.654</v>
      </c>
      <c r="H29" s="37">
        <v>19.57</v>
      </c>
      <c r="I29" s="170">
        <f t="shared" si="2"/>
        <v>0.7264307318990413</v>
      </c>
      <c r="K29" s="117">
        <v>0</v>
      </c>
      <c r="L29" s="118">
        <v>200</v>
      </c>
      <c r="M29" s="119">
        <v>0.405</v>
      </c>
      <c r="N29" s="131">
        <v>0.295</v>
      </c>
      <c r="O29" s="132">
        <v>0.218613</v>
      </c>
      <c r="P29" s="131">
        <v>-0.46</v>
      </c>
      <c r="Q29" s="119">
        <v>-0.96</v>
      </c>
      <c r="R29" s="120">
        <v>16.96</v>
      </c>
      <c r="S29" s="5">
        <f>L29*((E$70/O29)-1)</f>
        <v>2.0419645675234577</v>
      </c>
    </row>
    <row r="30" spans="1:19" ht="18" customHeight="1">
      <c r="A30" s="66">
        <v>12</v>
      </c>
      <c r="B30" s="31">
        <v>10000</v>
      </c>
      <c r="C30" s="77">
        <v>0.931</v>
      </c>
      <c r="D30" s="67">
        <v>0.605</v>
      </c>
      <c r="E30" s="68">
        <v>0.915211</v>
      </c>
      <c r="F30" s="67">
        <v>-0.662</v>
      </c>
      <c r="G30" s="69">
        <v>-1.225</v>
      </c>
      <c r="H30" s="69">
        <v>22.66</v>
      </c>
      <c r="I30" s="169"/>
      <c r="K30" s="117">
        <v>-3</v>
      </c>
      <c r="L30" s="118">
        <v>200</v>
      </c>
      <c r="M30" s="119">
        <f>0.254*1.54</f>
        <v>0.39116</v>
      </c>
      <c r="N30" s="131">
        <f>0.177*1.54</f>
        <v>0.27258</v>
      </c>
      <c r="O30" s="132">
        <v>0.145492</v>
      </c>
      <c r="P30" s="131">
        <f>-0.296*1.54</f>
        <v>-0.45583999999999997</v>
      </c>
      <c r="Q30" s="119">
        <f>-0.631*1.54</f>
        <v>-0.97174</v>
      </c>
      <c r="R30" s="120">
        <v>15.4</v>
      </c>
      <c r="S30" s="5">
        <f>L30*((E$78/O30)-1)</f>
        <v>2.475737497594377</v>
      </c>
    </row>
    <row r="31" spans="1:19" ht="18" customHeight="1">
      <c r="A31" s="32">
        <v>12</v>
      </c>
      <c r="B31" s="18">
        <v>200</v>
      </c>
      <c r="C31" s="78">
        <v>0.916</v>
      </c>
      <c r="D31" s="19">
        <v>0.598</v>
      </c>
      <c r="E31" s="21">
        <v>0.91119</v>
      </c>
      <c r="F31" s="19">
        <v>-0.651</v>
      </c>
      <c r="G31" s="26">
        <v>-1.229</v>
      </c>
      <c r="H31" s="26">
        <v>22.62</v>
      </c>
      <c r="I31" s="169">
        <f>B31*((E$30/E31)-1)</f>
        <v>0.882582117889763</v>
      </c>
      <c r="K31" s="117">
        <v>-8</v>
      </c>
      <c r="L31" s="118">
        <v>200</v>
      </c>
      <c r="M31" s="119">
        <v>0.406</v>
      </c>
      <c r="N31" s="131">
        <v>0.25</v>
      </c>
      <c r="O31" s="132">
        <v>0.069979</v>
      </c>
      <c r="P31" s="131">
        <v>-0.52</v>
      </c>
      <c r="Q31" s="119">
        <v>-1.194</v>
      </c>
      <c r="R31" s="120">
        <v>13.78</v>
      </c>
      <c r="S31" s="5">
        <f>L31*((E$86/O31)-1)</f>
        <v>3.0180482716243517</v>
      </c>
    </row>
    <row r="32" spans="1:19" ht="18" customHeight="1">
      <c r="A32" s="32">
        <v>12</v>
      </c>
      <c r="B32" s="18">
        <v>50</v>
      </c>
      <c r="C32" s="78">
        <v>0.851</v>
      </c>
      <c r="D32" s="19">
        <v>0.572</v>
      </c>
      <c r="E32" s="21">
        <v>0.8998</v>
      </c>
      <c r="F32" s="19">
        <v>-0.623</v>
      </c>
      <c r="G32" s="26">
        <v>-1.19</v>
      </c>
      <c r="H32" s="26">
        <v>22.4</v>
      </c>
      <c r="I32" s="169">
        <f aca="true" t="shared" si="3" ref="I32:I37">B32*((E$30/E32)-1)</f>
        <v>0.8563569682151551</v>
      </c>
      <c r="K32" s="117">
        <v>-12</v>
      </c>
      <c r="L32" s="118">
        <v>200</v>
      </c>
      <c r="M32" s="119">
        <v>0.369</v>
      </c>
      <c r="N32" s="131">
        <v>0.355</v>
      </c>
      <c r="O32" s="132">
        <v>0.035868</v>
      </c>
      <c r="P32" s="131">
        <v>-0.718</v>
      </c>
      <c r="Q32" s="119">
        <v>-1.254</v>
      </c>
      <c r="R32" s="120">
        <v>12.91</v>
      </c>
      <c r="S32" s="5">
        <f>L32*((E$94/O32)-1)</f>
        <v>3.362328537972603</v>
      </c>
    </row>
    <row r="33" spans="1:19" ht="18" customHeight="1">
      <c r="A33" s="32">
        <v>12</v>
      </c>
      <c r="B33" s="18">
        <v>20</v>
      </c>
      <c r="C33" s="78">
        <v>0.776</v>
      </c>
      <c r="D33" s="19">
        <v>0.54</v>
      </c>
      <c r="E33" s="21">
        <v>0.877259</v>
      </c>
      <c r="F33" s="19">
        <v>-0.58</v>
      </c>
      <c r="G33" s="26">
        <v>-1.115</v>
      </c>
      <c r="H33" s="26">
        <v>22.12</v>
      </c>
      <c r="I33" s="169">
        <f t="shared" si="3"/>
        <v>0.865240482001326</v>
      </c>
      <c r="K33" s="117">
        <v>-17</v>
      </c>
      <c r="L33" s="118">
        <v>200</v>
      </c>
      <c r="M33" s="119">
        <v>0.508</v>
      </c>
      <c r="N33" s="131">
        <v>0.482</v>
      </c>
      <c r="O33" s="132">
        <v>0.014699</v>
      </c>
      <c r="P33" s="131">
        <v>-0.834</v>
      </c>
      <c r="Q33" s="119">
        <v>-1.422</v>
      </c>
      <c r="R33" s="120">
        <v>13.63</v>
      </c>
      <c r="S33" s="5">
        <f>L33*((E$102/O33)-1)</f>
        <v>3.4151983128103858</v>
      </c>
    </row>
    <row r="34" spans="1:19" ht="18" customHeight="1">
      <c r="A34" s="32">
        <v>12</v>
      </c>
      <c r="B34" s="18">
        <v>10</v>
      </c>
      <c r="C34" s="78">
        <v>0.701</v>
      </c>
      <c r="D34" s="19">
        <v>0.499</v>
      </c>
      <c r="E34" s="21">
        <v>0.84272</v>
      </c>
      <c r="F34" s="19">
        <v>-0.53</v>
      </c>
      <c r="G34" s="26">
        <v>-1.027</v>
      </c>
      <c r="H34" s="26">
        <v>21.82</v>
      </c>
      <c r="I34" s="169">
        <f t="shared" si="3"/>
        <v>0.860202677045756</v>
      </c>
      <c r="K34" s="117">
        <v>-20</v>
      </c>
      <c r="L34" s="118">
        <v>200</v>
      </c>
      <c r="M34" s="119">
        <v>0.663</v>
      </c>
      <c r="N34" s="131">
        <v>0.479</v>
      </c>
      <c r="O34" s="132">
        <v>0.008856</v>
      </c>
      <c r="P34" s="131">
        <v>-0.806</v>
      </c>
      <c r="Q34" s="119">
        <v>-0.813</v>
      </c>
      <c r="R34" s="120">
        <v>12.23</v>
      </c>
      <c r="S34" s="5">
        <f>L34*((E$110/O34)-1)</f>
        <v>3.6359530261969475</v>
      </c>
    </row>
    <row r="35" spans="1:19" ht="27.75" customHeight="1">
      <c r="A35" s="32">
        <v>12</v>
      </c>
      <c r="B35" s="18">
        <v>5</v>
      </c>
      <c r="C35" s="78">
        <v>0.558</v>
      </c>
      <c r="D35" s="19">
        <v>0.412</v>
      </c>
      <c r="E35" s="21">
        <v>0.78479</v>
      </c>
      <c r="F35" s="19">
        <v>-0.46</v>
      </c>
      <c r="G35" s="26">
        <v>-0.912</v>
      </c>
      <c r="H35" s="26">
        <v>21.15</v>
      </c>
      <c r="I35" s="169">
        <f t="shared" si="3"/>
        <v>0.8309292931867129</v>
      </c>
      <c r="K35" s="122"/>
      <c r="L35" s="118"/>
      <c r="M35" s="123"/>
      <c r="N35" s="133"/>
      <c r="O35" s="134"/>
      <c r="P35" s="133"/>
      <c r="Q35" s="123"/>
      <c r="R35" s="124"/>
      <c r="S35" s="1" t="s">
        <v>22</v>
      </c>
    </row>
    <row r="36" spans="1:19" ht="20.25" customHeight="1">
      <c r="A36" s="32">
        <v>12</v>
      </c>
      <c r="B36" s="18">
        <v>2</v>
      </c>
      <c r="C36" s="78">
        <v>0.352</v>
      </c>
      <c r="D36" s="19">
        <v>0.297</v>
      </c>
      <c r="E36" s="21">
        <v>0.655772</v>
      </c>
      <c r="F36" s="19">
        <v>-0.349</v>
      </c>
      <c r="G36" s="26">
        <v>-0.715</v>
      </c>
      <c r="H36" s="26">
        <v>20.16</v>
      </c>
      <c r="I36" s="169">
        <f t="shared" si="3"/>
        <v>0.7912475677522064</v>
      </c>
      <c r="K36" s="117">
        <v>18</v>
      </c>
      <c r="L36" s="118">
        <v>50</v>
      </c>
      <c r="M36" s="119">
        <v>1.157</v>
      </c>
      <c r="N36" s="131">
        <v>0.7</v>
      </c>
      <c r="O36" s="132">
        <v>1.5734</v>
      </c>
      <c r="P36" s="131">
        <v>-0.78</v>
      </c>
      <c r="Q36" s="119">
        <v>-1.84</v>
      </c>
      <c r="R36" s="120">
        <v>26.05</v>
      </c>
      <c r="S36" s="5">
        <f>L36*((E$6/O36)-1)</f>
        <v>0.6037879750858011</v>
      </c>
    </row>
    <row r="37" spans="1:19" ht="18" customHeight="1" thickBot="1">
      <c r="A37" s="33">
        <v>12</v>
      </c>
      <c r="B37" s="34">
        <v>1</v>
      </c>
      <c r="C37" s="79">
        <v>0.218</v>
      </c>
      <c r="D37" s="38">
        <v>0.218</v>
      </c>
      <c r="E37" s="70">
        <v>0.520229</v>
      </c>
      <c r="F37" s="38">
        <v>-0.277</v>
      </c>
      <c r="G37" s="37">
        <v>-0.564</v>
      </c>
      <c r="H37" s="37">
        <v>19.48</v>
      </c>
      <c r="I37" s="170">
        <f t="shared" si="3"/>
        <v>0.7592464087930506</v>
      </c>
      <c r="K37" s="117">
        <v>15</v>
      </c>
      <c r="L37" s="118">
        <v>50</v>
      </c>
      <c r="M37" s="119">
        <v>1.019</v>
      </c>
      <c r="N37" s="131">
        <v>0.617</v>
      </c>
      <c r="O37" s="132">
        <v>1.20697</v>
      </c>
      <c r="P37" s="131">
        <v>-0.818</v>
      </c>
      <c r="Q37" s="119">
        <v>-1.306</v>
      </c>
      <c r="R37" s="120">
        <v>23.55</v>
      </c>
      <c r="S37" s="5">
        <f>L37*((E$15/O37)-1)</f>
        <v>0.5397814361583042</v>
      </c>
    </row>
    <row r="38" spans="1:19" ht="18" customHeight="1">
      <c r="A38" s="66">
        <v>9</v>
      </c>
      <c r="B38" s="31">
        <v>10000</v>
      </c>
      <c r="C38" s="77">
        <v>0.681</v>
      </c>
      <c r="D38" s="67">
        <v>0.428</v>
      </c>
      <c r="E38" s="68">
        <v>0.674748</v>
      </c>
      <c r="F38" s="67">
        <v>-0.649</v>
      </c>
      <c r="G38" s="69">
        <v>-1.123</v>
      </c>
      <c r="H38" s="69">
        <v>19.95</v>
      </c>
      <c r="I38" s="169"/>
      <c r="K38" s="117">
        <v>13</v>
      </c>
      <c r="L38" s="118">
        <v>50</v>
      </c>
      <c r="M38" s="119">
        <v>0.96</v>
      </c>
      <c r="N38" s="131">
        <v>0.614</v>
      </c>
      <c r="O38" s="132">
        <v>0.9926</v>
      </c>
      <c r="P38" s="131">
        <v>-0.698</v>
      </c>
      <c r="Q38" s="119">
        <v>-1.26</v>
      </c>
      <c r="R38" s="120">
        <v>23.47</v>
      </c>
      <c r="S38" s="5">
        <f>L38*((E$22/O38)-1)</f>
        <v>0.8910940963127056</v>
      </c>
    </row>
    <row r="39" spans="1:19" ht="18" customHeight="1">
      <c r="A39" s="32">
        <v>9</v>
      </c>
      <c r="B39" s="18">
        <v>200</v>
      </c>
      <c r="C39" s="78">
        <v>0.643</v>
      </c>
      <c r="D39" s="19">
        <v>0.409</v>
      </c>
      <c r="E39" s="21">
        <v>0.671435</v>
      </c>
      <c r="F39" s="19">
        <v>-0.634</v>
      </c>
      <c r="G39" s="26">
        <v>-1.11</v>
      </c>
      <c r="H39" s="26">
        <v>19.84</v>
      </c>
      <c r="I39" s="169">
        <f>B39*((E$38/E39)-1)</f>
        <v>0.9868416153462345</v>
      </c>
      <c r="K39" s="117">
        <v>12</v>
      </c>
      <c r="L39" s="118">
        <v>50</v>
      </c>
      <c r="M39" s="119">
        <v>0.851</v>
      </c>
      <c r="N39" s="131">
        <v>0.572</v>
      </c>
      <c r="O39" s="132">
        <v>0.8998</v>
      </c>
      <c r="P39" s="131">
        <v>-0.623</v>
      </c>
      <c r="Q39" s="119">
        <v>-1.19</v>
      </c>
      <c r="R39" s="120">
        <v>22.4</v>
      </c>
      <c r="S39" s="5">
        <f>L39*((E$30/O39)-1)</f>
        <v>0.8563569682151551</v>
      </c>
    </row>
    <row r="40" spans="1:19" ht="18" customHeight="1">
      <c r="A40" s="32">
        <v>9</v>
      </c>
      <c r="B40" s="18">
        <v>50</v>
      </c>
      <c r="C40" s="78">
        <v>0.56</v>
      </c>
      <c r="D40" s="19">
        <v>0.377</v>
      </c>
      <c r="E40" s="21">
        <v>0.661093</v>
      </c>
      <c r="F40" s="19">
        <v>-0.604</v>
      </c>
      <c r="G40" s="26">
        <v>-1.066</v>
      </c>
      <c r="H40" s="26">
        <v>19.68</v>
      </c>
      <c r="I40" s="169">
        <f aca="true" t="shared" si="4" ref="I40:I45">B40*((E$38/E40)-1)</f>
        <v>1.0327593848369232</v>
      </c>
      <c r="K40" s="117">
        <v>9</v>
      </c>
      <c r="L40" s="118">
        <v>50</v>
      </c>
      <c r="M40" s="119">
        <v>0.56</v>
      </c>
      <c r="N40" s="131">
        <v>0.377</v>
      </c>
      <c r="O40" s="132">
        <v>0.661093</v>
      </c>
      <c r="P40" s="131">
        <v>-0.604</v>
      </c>
      <c r="Q40" s="119">
        <v>-1.066</v>
      </c>
      <c r="R40" s="120">
        <v>19.68</v>
      </c>
      <c r="S40" s="5">
        <f>L40*((E$38/O40)-1)</f>
        <v>1.0327593848369232</v>
      </c>
    </row>
    <row r="41" spans="1:19" ht="18" customHeight="1">
      <c r="A41" s="32">
        <v>9</v>
      </c>
      <c r="B41" s="18">
        <v>20</v>
      </c>
      <c r="C41" s="78">
        <v>0.446</v>
      </c>
      <c r="D41" s="19">
        <v>0.321</v>
      </c>
      <c r="E41" s="21">
        <v>0.64192</v>
      </c>
      <c r="F41" s="19">
        <v>-0.554</v>
      </c>
      <c r="G41" s="26">
        <v>-0.991</v>
      </c>
      <c r="H41" s="26">
        <v>19.34</v>
      </c>
      <c r="I41" s="169">
        <f t="shared" si="4"/>
        <v>1.0228065802592212</v>
      </c>
      <c r="K41" s="117">
        <v>7</v>
      </c>
      <c r="L41" s="118">
        <v>50</v>
      </c>
      <c r="M41" s="119">
        <v>0.53</v>
      </c>
      <c r="N41" s="131">
        <v>0.354</v>
      </c>
      <c r="O41" s="132">
        <v>0.52314</v>
      </c>
      <c r="P41" s="131">
        <v>-0.53</v>
      </c>
      <c r="Q41" s="119">
        <v>-1.05</v>
      </c>
      <c r="R41" s="120">
        <v>20.52</v>
      </c>
      <c r="S41" s="5">
        <f>L41*((E$46/O41)-1)</f>
        <v>1.1995832855449806</v>
      </c>
    </row>
    <row r="42" spans="1:19" ht="18" customHeight="1">
      <c r="A42" s="32">
        <v>9</v>
      </c>
      <c r="B42" s="18">
        <v>10</v>
      </c>
      <c r="C42" s="78">
        <v>0.328</v>
      </c>
      <c r="D42" s="19">
        <v>0.259</v>
      </c>
      <c r="E42" s="21">
        <v>0.614</v>
      </c>
      <c r="F42" s="19">
        <v>-0.5</v>
      </c>
      <c r="G42" s="26">
        <v>-0.9</v>
      </c>
      <c r="H42" s="26">
        <v>18.92</v>
      </c>
      <c r="I42" s="169">
        <f t="shared" si="4"/>
        <v>0.9893811074918579</v>
      </c>
      <c r="K42" s="117">
        <v>6</v>
      </c>
      <c r="L42" s="118">
        <v>50</v>
      </c>
      <c r="M42" s="119">
        <v>0.352</v>
      </c>
      <c r="N42" s="131">
        <v>0.216</v>
      </c>
      <c r="O42" s="132">
        <v>0.467619</v>
      </c>
      <c r="P42" s="131">
        <v>-0.53</v>
      </c>
      <c r="Q42" s="119">
        <v>-0.955</v>
      </c>
      <c r="R42" s="120">
        <v>18.06</v>
      </c>
      <c r="S42" s="5">
        <f>L42*((E$54/O42)-1)</f>
        <v>1.2992414765011673</v>
      </c>
    </row>
    <row r="43" spans="1:19" ht="18" customHeight="1">
      <c r="A43" s="32">
        <v>9</v>
      </c>
      <c r="B43" s="18">
        <v>5</v>
      </c>
      <c r="C43" s="78">
        <v>0.198</v>
      </c>
      <c r="D43" s="19">
        <v>0.185</v>
      </c>
      <c r="E43" s="21">
        <v>0.566113</v>
      </c>
      <c r="F43" s="19">
        <v>-0.428</v>
      </c>
      <c r="G43" s="26">
        <v>-0.771</v>
      </c>
      <c r="H43" s="26">
        <v>18.42</v>
      </c>
      <c r="I43" s="169">
        <f t="shared" si="4"/>
        <v>0.9594815875982365</v>
      </c>
      <c r="K43" s="117">
        <v>3</v>
      </c>
      <c r="L43" s="118">
        <v>50</v>
      </c>
      <c r="M43" s="119">
        <v>0.204</v>
      </c>
      <c r="N43" s="131">
        <v>0.217</v>
      </c>
      <c r="O43" s="132">
        <v>0.319024</v>
      </c>
      <c r="P43" s="131">
        <v>-0.4</v>
      </c>
      <c r="Q43" s="119">
        <v>-0.89</v>
      </c>
      <c r="R43" s="120">
        <v>16.98</v>
      </c>
      <c r="S43" s="5">
        <f>L43*((E$62/O43)-1)</f>
        <v>1.6365539896684878</v>
      </c>
    </row>
    <row r="44" spans="1:19" ht="18" customHeight="1">
      <c r="A44" s="32">
        <v>9</v>
      </c>
      <c r="B44" s="18">
        <v>2</v>
      </c>
      <c r="C44" s="78">
        <v>0.045</v>
      </c>
      <c r="D44" s="19">
        <v>0.094</v>
      </c>
      <c r="E44" s="21">
        <v>0.46551</v>
      </c>
      <c r="F44" s="19">
        <v>-0.313</v>
      </c>
      <c r="G44" s="26">
        <v>-0.572</v>
      </c>
      <c r="H44" s="26">
        <v>17.68</v>
      </c>
      <c r="I44" s="169">
        <f t="shared" si="4"/>
        <v>0.8989624283044404</v>
      </c>
      <c r="K44" s="117">
        <v>0</v>
      </c>
      <c r="L44" s="118">
        <v>50</v>
      </c>
      <c r="M44" s="119">
        <v>0.088</v>
      </c>
      <c r="N44" s="131">
        <v>0.163</v>
      </c>
      <c r="O44" s="132">
        <v>0.21241</v>
      </c>
      <c r="P44" s="131">
        <v>-0.39</v>
      </c>
      <c r="Q44" s="119">
        <v>-0.85</v>
      </c>
      <c r="R44" s="120">
        <v>16.75</v>
      </c>
      <c r="S44" s="5">
        <f>L44*((E$70/O44)-1)</f>
        <v>1.9855468198295756</v>
      </c>
    </row>
    <row r="45" spans="1:19" ht="18" customHeight="1" thickBot="1">
      <c r="A45" s="33">
        <v>9</v>
      </c>
      <c r="B45" s="34">
        <v>1</v>
      </c>
      <c r="C45" s="79">
        <v>-0.049</v>
      </c>
      <c r="D45" s="38">
        <v>0.035</v>
      </c>
      <c r="E45" s="70">
        <v>0.36491</v>
      </c>
      <c r="F45" s="38">
        <v>-0.233</v>
      </c>
      <c r="G45" s="37">
        <v>-0.432</v>
      </c>
      <c r="H45" s="37">
        <v>17.15</v>
      </c>
      <c r="I45" s="170">
        <f t="shared" si="4"/>
        <v>0.8490805952152585</v>
      </c>
      <c r="K45" s="117">
        <v>-3</v>
      </c>
      <c r="L45" s="118">
        <v>50</v>
      </c>
      <c r="M45" s="119">
        <f>-0.023*1.525</f>
        <v>-0.035074999999999995</v>
      </c>
      <c r="N45" s="131">
        <f>0.068*1.525</f>
        <v>0.1037</v>
      </c>
      <c r="O45" s="132">
        <v>0.140635</v>
      </c>
      <c r="P45" s="131">
        <f>-0.244*1.525</f>
        <v>-0.3721</v>
      </c>
      <c r="Q45" s="119">
        <f>-0.558*1.525</f>
        <v>-0.85095</v>
      </c>
      <c r="R45" s="120">
        <v>15.25</v>
      </c>
      <c r="S45" s="5">
        <f>L45*((E$78/O45)-1)</f>
        <v>2.3671205603157053</v>
      </c>
    </row>
    <row r="46" spans="1:19" ht="18" customHeight="1">
      <c r="A46" s="66">
        <v>7</v>
      </c>
      <c r="B46" s="31">
        <v>10000</v>
      </c>
      <c r="C46" s="77">
        <v>0.722</v>
      </c>
      <c r="D46" s="67">
        <v>0.44</v>
      </c>
      <c r="E46" s="71">
        <v>0.535691</v>
      </c>
      <c r="F46" s="67">
        <v>-0.58</v>
      </c>
      <c r="G46" s="69">
        <v>-1.13</v>
      </c>
      <c r="H46" s="69">
        <v>20.88</v>
      </c>
      <c r="I46" s="169"/>
      <c r="K46" s="117">
        <v>-8</v>
      </c>
      <c r="L46" s="118">
        <v>50</v>
      </c>
      <c r="M46" s="119">
        <v>-0.217</v>
      </c>
      <c r="N46" s="131">
        <v>-0.004</v>
      </c>
      <c r="O46" s="132">
        <v>0.067093</v>
      </c>
      <c r="P46" s="131">
        <v>-0.409</v>
      </c>
      <c r="Q46" s="119">
        <v>-1.045</v>
      </c>
      <c r="R46" s="120">
        <v>13.68</v>
      </c>
      <c r="S46" s="5">
        <f>L46*((E$86/O46)-1)</f>
        <v>2.9377133232975083</v>
      </c>
    </row>
    <row r="47" spans="1:19" ht="18" customHeight="1">
      <c r="A47" s="32">
        <v>7</v>
      </c>
      <c r="B47" s="18">
        <v>200</v>
      </c>
      <c r="C47" s="78">
        <v>0.663</v>
      </c>
      <c r="D47" s="19">
        <v>0.416</v>
      </c>
      <c r="E47" s="22">
        <v>0.53238</v>
      </c>
      <c r="F47" s="19">
        <v>-0.564</v>
      </c>
      <c r="G47" s="26">
        <v>-1.107</v>
      </c>
      <c r="H47" s="26">
        <v>20.79</v>
      </c>
      <c r="I47" s="169">
        <f>B47*((E$46/E47)-1)</f>
        <v>1.2438483789774413</v>
      </c>
      <c r="K47" s="117">
        <v>-12</v>
      </c>
      <c r="L47" s="118">
        <v>50</v>
      </c>
      <c r="M47" s="119">
        <v>-0.413</v>
      </c>
      <c r="N47" s="131">
        <v>0.047</v>
      </c>
      <c r="O47" s="132">
        <v>0.034218</v>
      </c>
      <c r="P47" s="131">
        <v>-0.602</v>
      </c>
      <c r="Q47" s="119">
        <v>-1.092</v>
      </c>
      <c r="R47" s="120">
        <v>12.85</v>
      </c>
      <c r="S47" s="5">
        <f>L47*((E$94/O47)-1)</f>
        <v>3.292126950727692</v>
      </c>
    </row>
    <row r="48" spans="1:19" ht="18" customHeight="1">
      <c r="A48" s="32">
        <v>7</v>
      </c>
      <c r="B48" s="18">
        <v>50</v>
      </c>
      <c r="C48" s="78">
        <v>0.53</v>
      </c>
      <c r="D48" s="19">
        <v>0.354</v>
      </c>
      <c r="E48" s="22">
        <v>0.52314</v>
      </c>
      <c r="F48" s="19">
        <v>-0.53</v>
      </c>
      <c r="G48" s="26">
        <v>-1.05</v>
      </c>
      <c r="H48" s="26">
        <v>20.52</v>
      </c>
      <c r="I48" s="169">
        <f aca="true" t="shared" si="5" ref="I48:I53">B48*((E$46/E48)-1)</f>
        <v>1.1995832855449806</v>
      </c>
      <c r="K48" s="117">
        <v>-17</v>
      </c>
      <c r="L48" s="118">
        <v>50</v>
      </c>
      <c r="M48" s="119">
        <v>-0.592</v>
      </c>
      <c r="N48" s="131">
        <v>0.11</v>
      </c>
      <c r="O48" s="132">
        <v>0.013965</v>
      </c>
      <c r="P48" s="131">
        <v>-0.696</v>
      </c>
      <c r="Q48" s="119">
        <v>-1.233</v>
      </c>
      <c r="R48" s="120">
        <v>13.63</v>
      </c>
      <c r="S48" s="5">
        <f>L48*((E$102/O48)-1)</f>
        <v>3.526673827425708</v>
      </c>
    </row>
    <row r="49" spans="1:19" ht="18" customHeight="1">
      <c r="A49" s="32">
        <v>7</v>
      </c>
      <c r="B49" s="18">
        <v>20</v>
      </c>
      <c r="C49" s="78">
        <v>0.375</v>
      </c>
      <c r="D49" s="19">
        <v>0.276</v>
      </c>
      <c r="E49" s="22">
        <v>0.50587</v>
      </c>
      <c r="F49" s="19">
        <v>-0.466</v>
      </c>
      <c r="G49" s="26">
        <v>-0.955</v>
      </c>
      <c r="H49" s="26">
        <v>20.19</v>
      </c>
      <c r="I49" s="169">
        <f t="shared" si="5"/>
        <v>1.1789985569415062</v>
      </c>
      <c r="K49" s="117">
        <v>-20</v>
      </c>
      <c r="L49" s="118">
        <v>50</v>
      </c>
      <c r="M49" s="119">
        <v>-0.366</v>
      </c>
      <c r="N49" s="131">
        <v>0.143</v>
      </c>
      <c r="O49" s="132">
        <v>0.008414</v>
      </c>
      <c r="P49" s="131">
        <v>-0.681</v>
      </c>
      <c r="Q49" s="119">
        <v>-0.638</v>
      </c>
      <c r="R49" s="120">
        <v>12.18</v>
      </c>
      <c r="S49" s="5">
        <f>L49*((E$110/O49)-1)</f>
        <v>3.5833135250772585</v>
      </c>
    </row>
    <row r="50" spans="1:19" ht="27" customHeight="1">
      <c r="A50" s="32">
        <v>7</v>
      </c>
      <c r="B50" s="18">
        <v>10</v>
      </c>
      <c r="C50" s="78">
        <v>0.235</v>
      </c>
      <c r="D50" s="19">
        <v>0.195</v>
      </c>
      <c r="E50" s="22">
        <v>0.48137</v>
      </c>
      <c r="F50" s="19">
        <v>-0.398</v>
      </c>
      <c r="G50" s="26">
        <v>-0.839</v>
      </c>
      <c r="H50" s="26">
        <v>19.77</v>
      </c>
      <c r="I50" s="169">
        <f t="shared" si="5"/>
        <v>1.128466668051602</v>
      </c>
      <c r="K50" s="122"/>
      <c r="L50" s="118"/>
      <c r="M50" s="123"/>
      <c r="N50" s="133"/>
      <c r="O50" s="134"/>
      <c r="P50" s="133"/>
      <c r="Q50" s="123"/>
      <c r="R50" s="124"/>
      <c r="S50" s="1" t="s">
        <v>21</v>
      </c>
    </row>
    <row r="51" spans="1:19" ht="18" customHeight="1">
      <c r="A51" s="32">
        <v>7</v>
      </c>
      <c r="B51" s="18">
        <v>5</v>
      </c>
      <c r="C51" s="78">
        <v>0.096</v>
      </c>
      <c r="D51" s="19">
        <v>0.104</v>
      </c>
      <c r="E51" s="22">
        <v>0.44091</v>
      </c>
      <c r="F51" s="19">
        <v>-0.31</v>
      </c>
      <c r="G51" s="26">
        <v>-0.69</v>
      </c>
      <c r="H51" s="26">
        <v>19.21</v>
      </c>
      <c r="I51" s="169">
        <f t="shared" si="5"/>
        <v>1.0748338663219248</v>
      </c>
      <c r="K51" s="117">
        <v>18</v>
      </c>
      <c r="L51" s="118">
        <v>20</v>
      </c>
      <c r="M51" s="119">
        <v>1.127</v>
      </c>
      <c r="N51" s="131">
        <v>0.68</v>
      </c>
      <c r="O51" s="132">
        <v>1.546</v>
      </c>
      <c r="P51" s="131">
        <v>-0.77</v>
      </c>
      <c r="Q51" s="119">
        <v>-1.806</v>
      </c>
      <c r="R51" s="120">
        <v>25.76</v>
      </c>
      <c r="S51" s="5">
        <f>L51*((E$6/O51)-1)</f>
        <v>0.6002587322121622</v>
      </c>
    </row>
    <row r="52" spans="1:19" ht="18" customHeight="1">
      <c r="A52" s="32">
        <v>7</v>
      </c>
      <c r="B52" s="18">
        <v>2</v>
      </c>
      <c r="C52" s="78">
        <v>-0.052</v>
      </c>
      <c r="D52" s="19">
        <v>0.005</v>
      </c>
      <c r="E52" s="22">
        <v>0.358783</v>
      </c>
      <c r="F52" s="19">
        <v>-0.19</v>
      </c>
      <c r="G52" s="26">
        <v>-0.47</v>
      </c>
      <c r="H52" s="26">
        <v>18.51</v>
      </c>
      <c r="I52" s="169">
        <f t="shared" si="5"/>
        <v>0.986155977289894</v>
      </c>
      <c r="K52" s="117">
        <v>15</v>
      </c>
      <c r="L52" s="118">
        <v>20</v>
      </c>
      <c r="M52" s="119">
        <v>0.974</v>
      </c>
      <c r="N52" s="131">
        <v>0.586</v>
      </c>
      <c r="O52" s="132">
        <v>1.1822</v>
      </c>
      <c r="P52" s="131">
        <v>-0.8</v>
      </c>
      <c r="Q52" s="119">
        <v>-1.28</v>
      </c>
      <c r="R52" s="120">
        <v>23.42</v>
      </c>
      <c r="S52" s="5">
        <f>L52*((E$15/O52)-1)</f>
        <v>0.6394857046185098</v>
      </c>
    </row>
    <row r="53" spans="1:19" ht="18" customHeight="1" thickBot="1">
      <c r="A53" s="33">
        <v>7</v>
      </c>
      <c r="B53" s="34">
        <v>1</v>
      </c>
      <c r="C53" s="79">
        <v>-0.137</v>
      </c>
      <c r="D53" s="38">
        <v>-0.054</v>
      </c>
      <c r="E53" s="36">
        <v>0.27896</v>
      </c>
      <c r="F53" s="38">
        <v>-0.105</v>
      </c>
      <c r="G53" s="37">
        <v>-0.317</v>
      </c>
      <c r="H53" s="37">
        <v>18.09</v>
      </c>
      <c r="I53" s="170">
        <f t="shared" si="5"/>
        <v>0.9203147404645828</v>
      </c>
      <c r="K53" s="117">
        <v>13</v>
      </c>
      <c r="L53" s="118">
        <v>20</v>
      </c>
      <c r="M53" s="119">
        <v>0.841</v>
      </c>
      <c r="N53" s="131">
        <v>0.536</v>
      </c>
      <c r="O53" s="132">
        <v>0.9711</v>
      </c>
      <c r="P53" s="131">
        <v>-0.665</v>
      </c>
      <c r="Q53" s="119">
        <v>-1.205</v>
      </c>
      <c r="R53" s="120">
        <v>22.65</v>
      </c>
      <c r="S53" s="5">
        <f>L53*((E$22/O53)-1)</f>
        <v>0.8071259396560571</v>
      </c>
    </row>
    <row r="54" spans="1:19" ht="18" customHeight="1">
      <c r="A54" s="66">
        <v>6</v>
      </c>
      <c r="B54" s="31">
        <v>10000</v>
      </c>
      <c r="C54" s="77">
        <v>0.553</v>
      </c>
      <c r="D54" s="67">
        <v>0.303</v>
      </c>
      <c r="E54" s="71">
        <v>0.47977</v>
      </c>
      <c r="F54" s="67">
        <v>-0.582</v>
      </c>
      <c r="G54" s="69">
        <v>-1.04</v>
      </c>
      <c r="H54" s="69">
        <v>18.38</v>
      </c>
      <c r="I54" s="169"/>
      <c r="K54" s="117">
        <v>12</v>
      </c>
      <c r="L54" s="118">
        <v>20</v>
      </c>
      <c r="M54" s="119">
        <v>0.776</v>
      </c>
      <c r="N54" s="131">
        <v>0.54</v>
      </c>
      <c r="O54" s="132">
        <v>0.877259</v>
      </c>
      <c r="P54" s="131">
        <v>-0.58</v>
      </c>
      <c r="Q54" s="119">
        <v>-1.115</v>
      </c>
      <c r="R54" s="120">
        <v>22.12</v>
      </c>
      <c r="S54" s="5">
        <f>L54*((E$30/O54)-1)</f>
        <v>0.865240482001326</v>
      </c>
    </row>
    <row r="55" spans="1:19" ht="18" customHeight="1">
      <c r="A55" s="32">
        <v>6</v>
      </c>
      <c r="B55" s="18">
        <v>200</v>
      </c>
      <c r="C55" s="78">
        <v>0.49</v>
      </c>
      <c r="D55" s="19">
        <v>0.281</v>
      </c>
      <c r="E55" s="22">
        <v>0.476555</v>
      </c>
      <c r="F55" s="19">
        <v>-0.57</v>
      </c>
      <c r="G55" s="26">
        <v>-1.01</v>
      </c>
      <c r="H55" s="26">
        <v>18.29</v>
      </c>
      <c r="I55" s="169">
        <f>B55*((E$54/E55)-1)</f>
        <v>1.3492671360073594</v>
      </c>
      <c r="K55" s="117">
        <v>9</v>
      </c>
      <c r="L55" s="118">
        <v>20</v>
      </c>
      <c r="M55" s="119">
        <v>0.446</v>
      </c>
      <c r="N55" s="131">
        <v>0.321</v>
      </c>
      <c r="O55" s="132">
        <v>0.64192</v>
      </c>
      <c r="P55" s="131">
        <v>-0.554</v>
      </c>
      <c r="Q55" s="119">
        <v>-0.991</v>
      </c>
      <c r="R55" s="120">
        <v>19.34</v>
      </c>
      <c r="S55" s="5">
        <f>L55*((E$38/O55)-1)</f>
        <v>1.0228065802592212</v>
      </c>
    </row>
    <row r="56" spans="1:19" ht="18" customHeight="1">
      <c r="A56" s="32">
        <v>6</v>
      </c>
      <c r="B56" s="18">
        <v>50</v>
      </c>
      <c r="C56" s="78">
        <v>0.352</v>
      </c>
      <c r="D56" s="19">
        <v>0.216</v>
      </c>
      <c r="E56" s="22">
        <v>0.467619</v>
      </c>
      <c r="F56" s="19">
        <v>-0.53</v>
      </c>
      <c r="G56" s="26">
        <v>-0.955</v>
      </c>
      <c r="H56" s="26">
        <v>18.06</v>
      </c>
      <c r="I56" s="169">
        <f aca="true" t="shared" si="6" ref="I56:I61">B56*((E$54/E56)-1)</f>
        <v>1.2992414765011673</v>
      </c>
      <c r="K56" s="117">
        <v>7</v>
      </c>
      <c r="L56" s="118">
        <v>20</v>
      </c>
      <c r="M56" s="119">
        <v>0.375</v>
      </c>
      <c r="N56" s="131">
        <v>0.276</v>
      </c>
      <c r="O56" s="132">
        <v>0.50587</v>
      </c>
      <c r="P56" s="131">
        <v>-0.466</v>
      </c>
      <c r="Q56" s="119">
        <v>-0.955</v>
      </c>
      <c r="R56" s="120">
        <v>20.19</v>
      </c>
      <c r="S56" s="5">
        <f>L56*((E$46/O56)-1)</f>
        <v>1.1789985569415062</v>
      </c>
    </row>
    <row r="57" spans="1:19" ht="18" customHeight="1">
      <c r="A57" s="32">
        <v>6</v>
      </c>
      <c r="B57" s="18">
        <v>20</v>
      </c>
      <c r="C57" s="78">
        <v>0.2</v>
      </c>
      <c r="D57" s="19">
        <v>0.133</v>
      </c>
      <c r="E57" s="22">
        <v>0.451354</v>
      </c>
      <c r="F57" s="19">
        <v>-0.47</v>
      </c>
      <c r="G57" s="26">
        <v>-0.86</v>
      </c>
      <c r="H57" s="26">
        <v>17.74</v>
      </c>
      <c r="I57" s="169">
        <f t="shared" si="6"/>
        <v>1.2591447068154915</v>
      </c>
      <c r="K57" s="117">
        <v>6</v>
      </c>
      <c r="L57" s="118">
        <v>20</v>
      </c>
      <c r="M57" s="119">
        <v>0.2</v>
      </c>
      <c r="N57" s="131">
        <v>0.133</v>
      </c>
      <c r="O57" s="132">
        <v>0.451354</v>
      </c>
      <c r="P57" s="131">
        <v>-0.47</v>
      </c>
      <c r="Q57" s="119">
        <v>-0.86</v>
      </c>
      <c r="R57" s="120">
        <v>17.74</v>
      </c>
      <c r="S57" s="5">
        <f>L57*((E$54/O57)-1)</f>
        <v>1.2591447068154915</v>
      </c>
    </row>
    <row r="58" spans="1:19" ht="18" customHeight="1">
      <c r="A58" s="32">
        <v>6</v>
      </c>
      <c r="B58" s="18">
        <v>10</v>
      </c>
      <c r="C58" s="78">
        <v>0.069</v>
      </c>
      <c r="D58" s="19">
        <v>0.055</v>
      </c>
      <c r="E58" s="22">
        <v>0.428462</v>
      </c>
      <c r="F58" s="19">
        <v>-0.399</v>
      </c>
      <c r="G58" s="26">
        <v>-0.747</v>
      </c>
      <c r="H58" s="26">
        <v>17.34</v>
      </c>
      <c r="I58" s="169">
        <f t="shared" si="6"/>
        <v>1.1974924263995401</v>
      </c>
      <c r="K58" s="117">
        <v>3</v>
      </c>
      <c r="L58" s="118">
        <v>20</v>
      </c>
      <c r="M58" s="119">
        <v>-0.002</v>
      </c>
      <c r="N58" s="131">
        <v>0.104</v>
      </c>
      <c r="O58" s="132">
        <v>0.30577</v>
      </c>
      <c r="P58" s="131">
        <v>-0.323</v>
      </c>
      <c r="Q58" s="119">
        <v>-0.765</v>
      </c>
      <c r="R58" s="120">
        <v>16.64</v>
      </c>
      <c r="S58" s="5">
        <f>L58*((E$62/O58)-1)</f>
        <v>1.549923144847436</v>
      </c>
    </row>
    <row r="59" spans="1:19" ht="18" customHeight="1">
      <c r="A59" s="32">
        <v>6</v>
      </c>
      <c r="B59" s="18">
        <v>5</v>
      </c>
      <c r="C59" s="78">
        <v>-0.053</v>
      </c>
      <c r="D59" s="19">
        <v>-0.026</v>
      </c>
      <c r="E59" s="22">
        <v>0.39111</v>
      </c>
      <c r="F59" s="19">
        <v>-0.315</v>
      </c>
      <c r="G59" s="26">
        <v>-0.603</v>
      </c>
      <c r="H59" s="26">
        <v>16.87</v>
      </c>
      <c r="I59" s="169">
        <f t="shared" si="6"/>
        <v>1.1334407200020447</v>
      </c>
      <c r="K59" s="117">
        <v>0</v>
      </c>
      <c r="L59" s="118">
        <v>20</v>
      </c>
      <c r="M59" s="119">
        <v>-0.213</v>
      </c>
      <c r="N59" s="131">
        <v>0.003</v>
      </c>
      <c r="O59" s="132">
        <v>0.201869</v>
      </c>
      <c r="P59" s="131">
        <v>-0.277</v>
      </c>
      <c r="Q59" s="119">
        <v>-0.687</v>
      </c>
      <c r="R59" s="120">
        <v>16.39</v>
      </c>
      <c r="S59" s="5">
        <f>L59*((E$70/O59)-1)</f>
        <v>1.8800311092837463</v>
      </c>
    </row>
    <row r="60" spans="1:19" ht="18" customHeight="1">
      <c r="A60" s="32">
        <v>6</v>
      </c>
      <c r="B60" s="18">
        <v>2</v>
      </c>
      <c r="C60" s="78">
        <v>-0.18</v>
      </c>
      <c r="D60" s="19">
        <v>-0.117</v>
      </c>
      <c r="E60" s="22">
        <v>0.31682</v>
      </c>
      <c r="F60" s="19">
        <v>-0.21</v>
      </c>
      <c r="G60" s="26">
        <v>-0.401</v>
      </c>
      <c r="H60" s="26">
        <v>16.17</v>
      </c>
      <c r="I60" s="169">
        <f t="shared" si="6"/>
        <v>1.028659806830377</v>
      </c>
      <c r="K60" s="117">
        <v>-3</v>
      </c>
      <c r="L60" s="118">
        <v>20</v>
      </c>
      <c r="M60" s="119">
        <f>-0.294*1.49</f>
        <v>-0.43805999999999995</v>
      </c>
      <c r="N60" s="131">
        <f>-0.064*1.49</f>
        <v>-0.09536</v>
      </c>
      <c r="O60" s="132">
        <v>0.132449</v>
      </c>
      <c r="P60" s="131">
        <f>-0.161*1.49</f>
        <v>-0.23989</v>
      </c>
      <c r="Q60" s="119">
        <f>-0.44*1.49</f>
        <v>-0.6556</v>
      </c>
      <c r="R60" s="120">
        <v>14.9</v>
      </c>
      <c r="S60" s="5">
        <f>L60*((E$78/O60)-1)</f>
        <v>2.2414665267385914</v>
      </c>
    </row>
    <row r="61" spans="1:19" ht="18" customHeight="1" thickBot="1">
      <c r="A61" s="33">
        <v>6</v>
      </c>
      <c r="B61" s="34">
        <v>1</v>
      </c>
      <c r="C61" s="79">
        <v>-0.253</v>
      </c>
      <c r="D61" s="38">
        <v>-0.169</v>
      </c>
      <c r="E61" s="36">
        <v>0.24563</v>
      </c>
      <c r="F61" s="38">
        <v>-0.14</v>
      </c>
      <c r="G61" s="37">
        <v>-0.27</v>
      </c>
      <c r="H61" s="37">
        <v>15.71</v>
      </c>
      <c r="I61" s="170">
        <f t="shared" si="6"/>
        <v>0.9532223262630786</v>
      </c>
      <c r="K61" s="117">
        <v>-8</v>
      </c>
      <c r="L61" s="118">
        <v>20</v>
      </c>
      <c r="M61" s="119">
        <v>-0.875</v>
      </c>
      <c r="N61" s="131">
        <v>-0.327</v>
      </c>
      <c r="O61" s="132">
        <v>0.062236</v>
      </c>
      <c r="P61" s="131">
        <v>-0.239</v>
      </c>
      <c r="Q61" s="119">
        <v>-0.798</v>
      </c>
      <c r="R61" s="120">
        <v>13.48</v>
      </c>
      <c r="S61" s="5">
        <f>L61*((E$86/O61)-1)</f>
        <v>2.827623883282988</v>
      </c>
    </row>
    <row r="62" spans="1:19" ht="18" customHeight="1">
      <c r="A62" s="66">
        <v>3</v>
      </c>
      <c r="B62" s="31">
        <v>10000</v>
      </c>
      <c r="C62" s="77">
        <v>0.512</v>
      </c>
      <c r="D62" s="67">
        <v>0.348</v>
      </c>
      <c r="E62" s="71">
        <v>0.329466</v>
      </c>
      <c r="F62" s="67">
        <v>-0.477</v>
      </c>
      <c r="G62" s="69">
        <v>-1.004</v>
      </c>
      <c r="H62" s="69">
        <v>17.27</v>
      </c>
      <c r="I62" s="169"/>
      <c r="K62" s="117">
        <v>-12</v>
      </c>
      <c r="L62" s="118">
        <v>20</v>
      </c>
      <c r="M62" s="119">
        <v>-1.335</v>
      </c>
      <c r="N62" s="131">
        <v>-0.374</v>
      </c>
      <c r="O62" s="132">
        <v>0.031423</v>
      </c>
      <c r="P62" s="131">
        <v>-0.406</v>
      </c>
      <c r="Q62" s="119">
        <v>-0.813</v>
      </c>
      <c r="R62" s="120">
        <v>12.74</v>
      </c>
      <c r="S62" s="5">
        <f>L62*((E$94/O62)-1)</f>
        <v>3.2129332017948675</v>
      </c>
    </row>
    <row r="63" spans="1:19" ht="18" customHeight="1">
      <c r="A63" s="32">
        <v>3</v>
      </c>
      <c r="B63" s="18">
        <v>200</v>
      </c>
      <c r="C63" s="78">
        <v>0.409</v>
      </c>
      <c r="D63" s="19">
        <v>0.31</v>
      </c>
      <c r="E63" s="22">
        <v>0.326654</v>
      </c>
      <c r="F63" s="19">
        <v>-0.45</v>
      </c>
      <c r="G63" s="26">
        <v>-0.972</v>
      </c>
      <c r="H63" s="26">
        <v>17.2</v>
      </c>
      <c r="I63" s="169">
        <f>B63*((E$62/E63)-1)</f>
        <v>1.7216994128343543</v>
      </c>
      <c r="K63" s="117">
        <v>-17</v>
      </c>
      <c r="L63" s="118">
        <v>20</v>
      </c>
      <c r="M63" s="119">
        <v>-1.978</v>
      </c>
      <c r="N63" s="131">
        <v>-0.44</v>
      </c>
      <c r="O63" s="132">
        <v>0.012728</v>
      </c>
      <c r="P63" s="131">
        <v>-0.45</v>
      </c>
      <c r="Q63" s="119">
        <v>-0.9</v>
      </c>
      <c r="R63" s="120">
        <v>13.57</v>
      </c>
      <c r="S63" s="5">
        <f>L63*((E$102/O63)-1)</f>
        <v>3.491514770584536</v>
      </c>
    </row>
    <row r="64" spans="1:19" ht="18" customHeight="1">
      <c r="A64" s="32">
        <v>3</v>
      </c>
      <c r="B64" s="18">
        <v>50</v>
      </c>
      <c r="C64" s="78">
        <v>0.204</v>
      </c>
      <c r="D64" s="19">
        <v>0.217</v>
      </c>
      <c r="E64" s="22">
        <v>0.319024</v>
      </c>
      <c r="F64" s="19">
        <v>-0.4</v>
      </c>
      <c r="G64" s="26">
        <v>-0.89</v>
      </c>
      <c r="H64" s="26">
        <v>16.98</v>
      </c>
      <c r="I64" s="169">
        <f aca="true" t="shared" si="7" ref="I64:I69">B64*((E$62/E64)-1)</f>
        <v>1.6365539896684878</v>
      </c>
      <c r="K64" s="117">
        <v>-20</v>
      </c>
      <c r="L64" s="118">
        <v>20</v>
      </c>
      <c r="M64" s="119">
        <v>-1.694</v>
      </c>
      <c r="N64" s="131">
        <v>-0.358</v>
      </c>
      <c r="O64" s="132">
        <v>0.007649</v>
      </c>
      <c r="P64" s="131">
        <v>-0.456</v>
      </c>
      <c r="Q64" s="119">
        <v>-0.336</v>
      </c>
      <c r="R64" s="120">
        <v>12.14</v>
      </c>
      <c r="S64" s="5">
        <f>L64*((E$110/O64)-1)</f>
        <v>3.576938161851224</v>
      </c>
    </row>
    <row r="65" spans="1:19" ht="27" customHeight="1">
      <c r="A65" s="32">
        <v>3</v>
      </c>
      <c r="B65" s="18">
        <v>20</v>
      </c>
      <c r="C65" s="78">
        <v>-0.002</v>
      </c>
      <c r="D65" s="19">
        <v>0.104</v>
      </c>
      <c r="E65" s="22">
        <v>0.30577</v>
      </c>
      <c r="F65" s="19">
        <v>-0.323</v>
      </c>
      <c r="G65" s="26">
        <v>-0.765</v>
      </c>
      <c r="H65" s="26">
        <v>16.64</v>
      </c>
      <c r="I65" s="169">
        <f t="shared" si="7"/>
        <v>1.549923144847436</v>
      </c>
      <c r="K65" s="122"/>
      <c r="L65" s="118"/>
      <c r="M65" s="123"/>
      <c r="N65" s="133"/>
      <c r="O65" s="134"/>
      <c r="P65" s="133"/>
      <c r="Q65" s="123"/>
      <c r="R65" s="124"/>
      <c r="S65" s="2" t="s">
        <v>20</v>
      </c>
    </row>
    <row r="66" spans="1:19" ht="15.75" customHeight="1">
      <c r="A66" s="32">
        <v>3</v>
      </c>
      <c r="B66" s="18">
        <v>10</v>
      </c>
      <c r="C66" s="78">
        <v>-0.154</v>
      </c>
      <c r="D66" s="19">
        <v>0.01</v>
      </c>
      <c r="E66" s="22">
        <v>0.287698</v>
      </c>
      <c r="F66" s="19">
        <v>-0.236</v>
      </c>
      <c r="G66" s="26">
        <v>-0.626</v>
      </c>
      <c r="H66" s="26">
        <v>16.26</v>
      </c>
      <c r="I66" s="169">
        <f t="shared" si="7"/>
        <v>1.4518001515478018</v>
      </c>
      <c r="K66" s="117">
        <v>18</v>
      </c>
      <c r="L66" s="118">
        <v>10</v>
      </c>
      <c r="M66" s="119">
        <v>1.086</v>
      </c>
      <c r="N66" s="131">
        <v>0.664</v>
      </c>
      <c r="O66" s="132">
        <v>1.5017</v>
      </c>
      <c r="P66" s="131">
        <v>-0.74</v>
      </c>
      <c r="Q66" s="119">
        <v>-1.75</v>
      </c>
      <c r="R66" s="120">
        <v>25.32</v>
      </c>
      <c r="S66" s="5">
        <f>L66*((E$6/O66)-1)</f>
        <v>0.6039821535592993</v>
      </c>
    </row>
    <row r="67" spans="1:19" ht="18" customHeight="1">
      <c r="A67" s="32">
        <v>3</v>
      </c>
      <c r="B67" s="18">
        <v>5</v>
      </c>
      <c r="C67" s="78">
        <v>-0.286</v>
      </c>
      <c r="D67" s="19">
        <v>-0.082</v>
      </c>
      <c r="E67" s="22">
        <v>0.25969</v>
      </c>
      <c r="F67" s="19">
        <v>-0.14</v>
      </c>
      <c r="G67" s="26">
        <v>-0.45</v>
      </c>
      <c r="H67" s="26">
        <v>15.74</v>
      </c>
      <c r="I67" s="169">
        <f t="shared" si="7"/>
        <v>1.3434479571797142</v>
      </c>
      <c r="K67" s="117">
        <v>15</v>
      </c>
      <c r="L67" s="118">
        <v>10</v>
      </c>
      <c r="M67" s="119">
        <v>0.913</v>
      </c>
      <c r="N67" s="131">
        <v>0.553</v>
      </c>
      <c r="O67" s="132">
        <v>1.14312</v>
      </c>
      <c r="P67" s="131">
        <v>-0.75</v>
      </c>
      <c r="Q67" s="119">
        <v>-1.222</v>
      </c>
      <c r="R67" s="120">
        <v>23.15</v>
      </c>
      <c r="S67" s="5">
        <f>L67*((E$15/O67)-1)</f>
        <v>0.6725453145776483</v>
      </c>
    </row>
    <row r="68" spans="1:19" ht="18" customHeight="1">
      <c r="A68" s="32">
        <v>3</v>
      </c>
      <c r="B68" s="18">
        <v>2</v>
      </c>
      <c r="C68" s="78">
        <v>-0.409</v>
      </c>
      <c r="D68" s="19">
        <v>-0.17</v>
      </c>
      <c r="E68" s="22">
        <v>0.206674</v>
      </c>
      <c r="F68" s="19">
        <v>-0.016</v>
      </c>
      <c r="G68" s="26">
        <v>-0.229</v>
      </c>
      <c r="H68" s="26">
        <v>15.03</v>
      </c>
      <c r="I68" s="169">
        <f t="shared" si="7"/>
        <v>1.188267513088245</v>
      </c>
      <c r="K68" s="117">
        <v>13</v>
      </c>
      <c r="L68" s="118">
        <v>10</v>
      </c>
      <c r="M68" s="119">
        <v>0.723</v>
      </c>
      <c r="N68" s="131">
        <v>0.486</v>
      </c>
      <c r="O68" s="132">
        <v>0.936898</v>
      </c>
      <c r="P68" s="131">
        <v>-0.612</v>
      </c>
      <c r="Q68" s="119">
        <v>-1.098</v>
      </c>
      <c r="R68" s="120">
        <v>21.74</v>
      </c>
      <c r="S68" s="5">
        <f>L68*((E$22/O68)-1)</f>
        <v>0.7833510157989432</v>
      </c>
    </row>
    <row r="69" spans="1:19" ht="18" customHeight="1" thickBot="1">
      <c r="A69" s="33">
        <v>3</v>
      </c>
      <c r="B69" s="34">
        <v>1</v>
      </c>
      <c r="C69" s="79">
        <v>-0.472</v>
      </c>
      <c r="D69" s="38">
        <v>-0.22</v>
      </c>
      <c r="E69" s="36">
        <v>0.158224</v>
      </c>
      <c r="F69" s="38">
        <v>0.052</v>
      </c>
      <c r="G69" s="37">
        <v>-0.091</v>
      </c>
      <c r="H69" s="37">
        <v>14.51</v>
      </c>
      <c r="I69" s="170">
        <f t="shared" si="7"/>
        <v>1.082275760946506</v>
      </c>
      <c r="K69" s="117">
        <v>12</v>
      </c>
      <c r="L69" s="118">
        <v>10</v>
      </c>
      <c r="M69" s="119">
        <v>0.701</v>
      </c>
      <c r="N69" s="131">
        <v>0.499</v>
      </c>
      <c r="O69" s="132">
        <v>0.84272</v>
      </c>
      <c r="P69" s="131">
        <v>-0.53</v>
      </c>
      <c r="Q69" s="119">
        <v>-1.027</v>
      </c>
      <c r="R69" s="120">
        <v>21.82</v>
      </c>
      <c r="S69" s="5">
        <f>L69*((E$30/O69)-1)</f>
        <v>0.860202677045756</v>
      </c>
    </row>
    <row r="70" spans="1:19" ht="18" customHeight="1">
      <c r="A70" s="66">
        <v>0</v>
      </c>
      <c r="B70" s="31">
        <v>10000</v>
      </c>
      <c r="C70" s="77">
        <v>0.588</v>
      </c>
      <c r="D70" s="67">
        <v>0.358</v>
      </c>
      <c r="E70" s="71">
        <v>0.220845</v>
      </c>
      <c r="F70" s="67">
        <v>-0.488</v>
      </c>
      <c r="G70" s="69">
        <v>-1.001</v>
      </c>
      <c r="H70" s="69">
        <v>17.05</v>
      </c>
      <c r="I70" s="169"/>
      <c r="K70" s="117">
        <v>9</v>
      </c>
      <c r="L70" s="118">
        <v>10</v>
      </c>
      <c r="M70" s="119">
        <v>0.328</v>
      </c>
      <c r="N70" s="131">
        <v>0.259</v>
      </c>
      <c r="O70" s="132">
        <v>0.614</v>
      </c>
      <c r="P70" s="131">
        <v>-0.5</v>
      </c>
      <c r="Q70" s="119">
        <v>-0.9</v>
      </c>
      <c r="R70" s="120">
        <v>18.92</v>
      </c>
      <c r="S70" s="5">
        <f>L70*((E$38/O70)-1)</f>
        <v>0.9893811074918579</v>
      </c>
    </row>
    <row r="71" spans="1:19" ht="18" customHeight="1">
      <c r="A71" s="32">
        <v>0</v>
      </c>
      <c r="B71" s="18">
        <v>200</v>
      </c>
      <c r="C71" s="78">
        <v>0.405</v>
      </c>
      <c r="D71" s="19">
        <v>0.295</v>
      </c>
      <c r="E71" s="22">
        <v>0.218613</v>
      </c>
      <c r="F71" s="19">
        <v>-0.46</v>
      </c>
      <c r="G71" s="26">
        <v>-0.96</v>
      </c>
      <c r="H71" s="26">
        <v>16.96</v>
      </c>
      <c r="I71" s="169">
        <f>B71*((E$70/E71)-1)</f>
        <v>2.0419645675234577</v>
      </c>
      <c r="K71" s="117">
        <v>7</v>
      </c>
      <c r="L71" s="118">
        <v>10</v>
      </c>
      <c r="M71" s="119">
        <v>0.235</v>
      </c>
      <c r="N71" s="131">
        <v>0.195</v>
      </c>
      <c r="O71" s="132">
        <v>0.48137</v>
      </c>
      <c r="P71" s="131">
        <v>-0.398</v>
      </c>
      <c r="Q71" s="119">
        <v>-0.839</v>
      </c>
      <c r="R71" s="120">
        <v>19.77</v>
      </c>
      <c r="S71" s="5">
        <f>L71*((E$46/O71)-1)</f>
        <v>1.128466668051602</v>
      </c>
    </row>
    <row r="72" spans="1:19" ht="18" customHeight="1">
      <c r="A72" s="32">
        <v>0</v>
      </c>
      <c r="B72" s="18">
        <v>50</v>
      </c>
      <c r="C72" s="78">
        <v>0.088</v>
      </c>
      <c r="D72" s="19">
        <v>0.163</v>
      </c>
      <c r="E72" s="22">
        <v>0.21241</v>
      </c>
      <c r="F72" s="19">
        <v>-0.39</v>
      </c>
      <c r="G72" s="26">
        <v>-0.85</v>
      </c>
      <c r="H72" s="26">
        <v>16.75</v>
      </c>
      <c r="I72" s="169">
        <f aca="true" t="shared" si="8" ref="I72:I77">B72*((E$70/E72)-1)</f>
        <v>1.9855468198295756</v>
      </c>
      <c r="K72" s="117">
        <v>6</v>
      </c>
      <c r="L72" s="118">
        <v>10</v>
      </c>
      <c r="M72" s="119">
        <v>0.069</v>
      </c>
      <c r="N72" s="131">
        <v>0.055</v>
      </c>
      <c r="O72" s="132">
        <v>0.428462</v>
      </c>
      <c r="P72" s="131">
        <v>-0.399</v>
      </c>
      <c r="Q72" s="119">
        <v>-0.747</v>
      </c>
      <c r="R72" s="120">
        <v>17.34</v>
      </c>
      <c r="S72" s="5">
        <f>L72*((E$54/O72)-1)</f>
        <v>1.1974924263995401</v>
      </c>
    </row>
    <row r="73" spans="1:19" ht="18" customHeight="1">
      <c r="A73" s="32">
        <v>0</v>
      </c>
      <c r="B73" s="18">
        <v>20</v>
      </c>
      <c r="C73" s="78">
        <v>-0.213</v>
      </c>
      <c r="D73" s="19">
        <v>0.003</v>
      </c>
      <c r="E73" s="22">
        <v>0.201869</v>
      </c>
      <c r="F73" s="19">
        <v>-0.277</v>
      </c>
      <c r="G73" s="26">
        <v>-0.687</v>
      </c>
      <c r="H73" s="26">
        <v>16.39</v>
      </c>
      <c r="I73" s="169">
        <f t="shared" si="8"/>
        <v>1.8800311092837463</v>
      </c>
      <c r="K73" s="117">
        <v>3</v>
      </c>
      <c r="L73" s="118">
        <v>10</v>
      </c>
      <c r="M73" s="119">
        <v>-0.154</v>
      </c>
      <c r="N73" s="131">
        <v>0.01</v>
      </c>
      <c r="O73" s="132">
        <v>0.287698</v>
      </c>
      <c r="P73" s="131">
        <v>-0.236</v>
      </c>
      <c r="Q73" s="119">
        <v>-0.626</v>
      </c>
      <c r="R73" s="120">
        <v>16.26</v>
      </c>
      <c r="S73" s="5">
        <f>L73*((E$62/O73)-1)</f>
        <v>1.4518001515478018</v>
      </c>
    </row>
    <row r="74" spans="1:19" ht="18" customHeight="1">
      <c r="A74" s="32">
        <v>0</v>
      </c>
      <c r="B74" s="18">
        <v>10</v>
      </c>
      <c r="C74" s="78">
        <v>-0.423</v>
      </c>
      <c r="D74" s="19">
        <v>-0.122</v>
      </c>
      <c r="E74" s="22">
        <v>0.188122</v>
      </c>
      <c r="F74" s="19">
        <v>-0.163</v>
      </c>
      <c r="G74" s="26">
        <v>-0.503</v>
      </c>
      <c r="H74" s="26">
        <v>15.94</v>
      </c>
      <c r="I74" s="169">
        <f t="shared" si="8"/>
        <v>1.7394563102667426</v>
      </c>
      <c r="K74" s="117">
        <v>0</v>
      </c>
      <c r="L74" s="118">
        <v>10</v>
      </c>
      <c r="M74" s="119">
        <v>-0.423</v>
      </c>
      <c r="N74" s="131">
        <v>-0.122</v>
      </c>
      <c r="O74" s="132">
        <v>0.188122</v>
      </c>
      <c r="P74" s="131">
        <v>-0.163</v>
      </c>
      <c r="Q74" s="119">
        <v>-0.503</v>
      </c>
      <c r="R74" s="120">
        <v>15.94</v>
      </c>
      <c r="S74" s="5">
        <f>L74*((E$70/O74)-1)</f>
        <v>1.7394563102667426</v>
      </c>
    </row>
    <row r="75" spans="1:19" ht="18" customHeight="1">
      <c r="A75" s="32">
        <v>0</v>
      </c>
      <c r="B75" s="18">
        <v>5</v>
      </c>
      <c r="C75" s="78">
        <v>-0.596</v>
      </c>
      <c r="D75" s="19">
        <v>-0.237</v>
      </c>
      <c r="E75" s="22">
        <v>0.167456</v>
      </c>
      <c r="F75" s="19">
        <v>-0.03</v>
      </c>
      <c r="G75" s="26">
        <v>-0.279</v>
      </c>
      <c r="H75" s="26">
        <v>15.34</v>
      </c>
      <c r="I75" s="169">
        <f t="shared" si="8"/>
        <v>1.594120246512517</v>
      </c>
      <c r="K75" s="117">
        <v>-3</v>
      </c>
      <c r="L75" s="118">
        <v>10</v>
      </c>
      <c r="M75" s="119">
        <f>-0.502*1.45</f>
        <v>-0.7279</v>
      </c>
      <c r="N75" s="131">
        <f>-0.18*1.45</f>
        <v>-0.261</v>
      </c>
      <c r="O75" s="132">
        <v>0.121961</v>
      </c>
      <c r="P75" s="131">
        <f>-0.068*1.45</f>
        <v>-0.09860000000000001</v>
      </c>
      <c r="Q75" s="119">
        <f>-0.298*1.45</f>
        <v>-0.4321</v>
      </c>
      <c r="R75" s="120">
        <v>14.5</v>
      </c>
      <c r="S75" s="5">
        <f>L75*((E$78/O75)-1)</f>
        <v>2.0770574199949166</v>
      </c>
    </row>
    <row r="76" spans="1:19" ht="18" customHeight="1">
      <c r="A76" s="32">
        <v>0</v>
      </c>
      <c r="B76" s="18">
        <v>2</v>
      </c>
      <c r="C76" s="78">
        <v>-0.744</v>
      </c>
      <c r="D76" s="19">
        <v>-0.343</v>
      </c>
      <c r="E76" s="22">
        <v>0.130539</v>
      </c>
      <c r="F76" s="19">
        <v>0.121</v>
      </c>
      <c r="G76" s="26">
        <v>-0.002</v>
      </c>
      <c r="H76" s="26">
        <v>14.39</v>
      </c>
      <c r="I76" s="169">
        <f t="shared" si="8"/>
        <v>1.3835865143750148</v>
      </c>
      <c r="K76" s="117">
        <v>-8</v>
      </c>
      <c r="L76" s="118">
        <v>10</v>
      </c>
      <c r="M76" s="119">
        <v>-1.413</v>
      </c>
      <c r="N76" s="131">
        <v>-0.623</v>
      </c>
      <c r="O76" s="132">
        <v>0.0526091</v>
      </c>
      <c r="P76" s="131">
        <v>-0.041</v>
      </c>
      <c r="Q76" s="119">
        <v>-0.499</v>
      </c>
      <c r="R76" s="120">
        <v>13.17</v>
      </c>
      <c r="S76" s="5">
        <f>L76*((E$86/O76)-1)</f>
        <v>3.50241688225041</v>
      </c>
    </row>
    <row r="77" spans="1:19" ht="18" customHeight="1" thickBot="1">
      <c r="A77" s="33">
        <v>0</v>
      </c>
      <c r="B77" s="34">
        <v>1</v>
      </c>
      <c r="C77" s="79">
        <v>-0.811</v>
      </c>
      <c r="D77" s="38">
        <v>-0.393</v>
      </c>
      <c r="E77" s="36">
        <v>0.098278</v>
      </c>
      <c r="F77" s="38">
        <v>0.201</v>
      </c>
      <c r="G77" s="37">
        <v>0.16</v>
      </c>
      <c r="H77" s="37">
        <v>13.68</v>
      </c>
      <c r="I77" s="170">
        <f t="shared" si="8"/>
        <v>1.247145851563931</v>
      </c>
      <c r="K77" s="117">
        <v>-12</v>
      </c>
      <c r="L77" s="118">
        <v>10</v>
      </c>
      <c r="M77" s="119">
        <v>-2.178</v>
      </c>
      <c r="N77" s="131">
        <v>-0.795</v>
      </c>
      <c r="O77" s="132">
        <v>0.027873</v>
      </c>
      <c r="P77" s="131">
        <v>-0.162</v>
      </c>
      <c r="Q77" s="119">
        <v>-0.462</v>
      </c>
      <c r="R77" s="120">
        <v>12.55</v>
      </c>
      <c r="S77" s="5">
        <f>L77*((E$94/O77)-1)</f>
        <v>3.0847056291034347</v>
      </c>
    </row>
    <row r="78" spans="1:19" ht="18" customHeight="1">
      <c r="A78" s="72">
        <v>-3</v>
      </c>
      <c r="B78" s="31">
        <v>10000</v>
      </c>
      <c r="C78" s="77">
        <f>0.409*1.55</f>
        <v>0.63395</v>
      </c>
      <c r="D78" s="67">
        <f>0.225*1.55</f>
        <v>0.34875</v>
      </c>
      <c r="E78" s="71">
        <v>0.147293</v>
      </c>
      <c r="F78" s="67">
        <f>-0.317*1.55</f>
        <v>-0.49135</v>
      </c>
      <c r="G78" s="69">
        <f>-0.659*1.55</f>
        <v>-1.02145</v>
      </c>
      <c r="H78" s="69">
        <v>15.5</v>
      </c>
      <c r="I78" s="169"/>
      <c r="K78" s="117">
        <v>-17</v>
      </c>
      <c r="L78" s="118">
        <v>10</v>
      </c>
      <c r="M78" s="119">
        <v>-3.289</v>
      </c>
      <c r="N78" s="131">
        <v>-1.029</v>
      </c>
      <c r="O78" s="132">
        <v>0.011139</v>
      </c>
      <c r="P78" s="131">
        <v>-0.133</v>
      </c>
      <c r="Q78" s="119">
        <v>-0.449</v>
      </c>
      <c r="R78" s="120">
        <v>13.45</v>
      </c>
      <c r="S78" s="5">
        <f>L78*((E$102/O78)-1)</f>
        <v>3.421312505610916</v>
      </c>
    </row>
    <row r="79" spans="1:19" ht="18" customHeight="1">
      <c r="A79" s="32">
        <v>-3</v>
      </c>
      <c r="B79" s="18">
        <v>200</v>
      </c>
      <c r="C79" s="78">
        <f>0.254*1.54</f>
        <v>0.39116</v>
      </c>
      <c r="D79" s="19">
        <f>0.177*1.54</f>
        <v>0.27258</v>
      </c>
      <c r="E79" s="22">
        <v>0.145492</v>
      </c>
      <c r="F79" s="19">
        <f>-0.296*1.54</f>
        <v>-0.45583999999999997</v>
      </c>
      <c r="G79" s="26">
        <f>-0.631*1.54</f>
        <v>-0.97174</v>
      </c>
      <c r="H79" s="26">
        <v>15.4</v>
      </c>
      <c r="I79" s="169">
        <f>B79*((E$78/E79)-1)</f>
        <v>2.475737497594377</v>
      </c>
      <c r="K79" s="117">
        <v>-20</v>
      </c>
      <c r="L79" s="118">
        <v>10</v>
      </c>
      <c r="M79" s="119">
        <v>-2.958</v>
      </c>
      <c r="N79" s="131">
        <v>-0.913</v>
      </c>
      <c r="O79" s="132">
        <v>0.006664</v>
      </c>
      <c r="P79" s="131">
        <v>-0.16</v>
      </c>
      <c r="Q79" s="119">
        <v>0.078</v>
      </c>
      <c r="R79" s="120">
        <v>12.06</v>
      </c>
      <c r="S79" s="5">
        <f>L79*((E$110/O79)-1)</f>
        <v>3.5309123649459795</v>
      </c>
    </row>
    <row r="80" spans="1:19" ht="27.75" customHeight="1">
      <c r="A80" s="32">
        <v>-3</v>
      </c>
      <c r="B80" s="18">
        <v>50</v>
      </c>
      <c r="C80" s="78">
        <f>-0.023*1.525</f>
        <v>-0.035074999999999995</v>
      </c>
      <c r="D80" s="19">
        <f>0.068*1.525</f>
        <v>0.1037</v>
      </c>
      <c r="E80" s="22">
        <v>0.140635</v>
      </c>
      <c r="F80" s="19">
        <f>-0.244*1.525</f>
        <v>-0.3721</v>
      </c>
      <c r="G80" s="26">
        <f>-0.558*1.525</f>
        <v>-0.85095</v>
      </c>
      <c r="H80" s="26">
        <v>15.25</v>
      </c>
      <c r="I80" s="169">
        <f aca="true" t="shared" si="9" ref="I80:I85">B80*((E$78/E80)-1)</f>
        <v>2.3671205603157053</v>
      </c>
      <c r="K80" s="122"/>
      <c r="L80" s="118"/>
      <c r="M80" s="123"/>
      <c r="N80" s="133"/>
      <c r="O80" s="134"/>
      <c r="P80" s="133"/>
      <c r="Q80" s="123"/>
      <c r="R80" s="124"/>
      <c r="S80" s="2" t="s">
        <v>19</v>
      </c>
    </row>
    <row r="81" spans="1:19" ht="15.75" customHeight="1">
      <c r="A81" s="32">
        <v>-3</v>
      </c>
      <c r="B81" s="18">
        <v>20</v>
      </c>
      <c r="C81" s="78">
        <f>-0.294*1.49</f>
        <v>-0.43805999999999995</v>
      </c>
      <c r="D81" s="19">
        <f>-0.064*1.49</f>
        <v>-0.09536</v>
      </c>
      <c r="E81" s="22">
        <v>0.132449</v>
      </c>
      <c r="F81" s="19">
        <f>-0.161*1.49</f>
        <v>-0.23989</v>
      </c>
      <c r="G81" s="26">
        <f>-0.44*1.49</f>
        <v>-0.6556</v>
      </c>
      <c r="H81" s="26">
        <v>14.9</v>
      </c>
      <c r="I81" s="169">
        <f t="shared" si="9"/>
        <v>2.2414665267385914</v>
      </c>
      <c r="K81" s="117">
        <v>18</v>
      </c>
      <c r="L81" s="118">
        <v>5</v>
      </c>
      <c r="M81" s="119">
        <v>1.011</v>
      </c>
      <c r="N81" s="131">
        <v>0.623</v>
      </c>
      <c r="O81" s="135">
        <v>1.4204</v>
      </c>
      <c r="P81" s="131">
        <v>-0.7</v>
      </c>
      <c r="Q81" s="119">
        <v>-1.68</v>
      </c>
      <c r="R81" s="120">
        <v>24.69</v>
      </c>
      <c r="S81" s="5">
        <f>L81*((E$6/O81)-1)</f>
        <v>0.6054632497887913</v>
      </c>
    </row>
    <row r="82" spans="1:19" ht="18" customHeight="1">
      <c r="A82" s="32">
        <v>-3</v>
      </c>
      <c r="B82" s="18">
        <v>10</v>
      </c>
      <c r="C82" s="78">
        <f>-0.502*1.45</f>
        <v>-0.7279</v>
      </c>
      <c r="D82" s="19">
        <f>-0.18*1.45</f>
        <v>-0.261</v>
      </c>
      <c r="E82" s="22">
        <v>0.121961</v>
      </c>
      <c r="F82" s="19">
        <f>-0.068*1.45</f>
        <v>-0.09860000000000001</v>
      </c>
      <c r="G82" s="26">
        <f>-0.298*1.45</f>
        <v>-0.4321</v>
      </c>
      <c r="H82" s="26">
        <v>14.5</v>
      </c>
      <c r="I82" s="169">
        <f t="shared" si="9"/>
        <v>2.0770574199949166</v>
      </c>
      <c r="K82" s="117">
        <v>15</v>
      </c>
      <c r="L82" s="118">
        <v>5</v>
      </c>
      <c r="M82" s="119">
        <v>0.781</v>
      </c>
      <c r="N82" s="131">
        <v>0.498</v>
      </c>
      <c r="O82" s="135">
        <v>1.07374</v>
      </c>
      <c r="P82" s="131">
        <v>-0.699</v>
      </c>
      <c r="Q82" s="119">
        <v>-1.137</v>
      </c>
      <c r="R82" s="120">
        <v>22.46</v>
      </c>
      <c r="S82" s="5">
        <f>L82*((E$15/O82)-1)</f>
        <v>0.6810773557844552</v>
      </c>
    </row>
    <row r="83" spans="1:19" ht="18" customHeight="1">
      <c r="A83" s="32">
        <v>-3</v>
      </c>
      <c r="B83" s="18">
        <v>5</v>
      </c>
      <c r="C83" s="78">
        <f>-0.697*1.39</f>
        <v>-0.9688299999999999</v>
      </c>
      <c r="D83" s="19">
        <f>-0.297*1.39</f>
        <v>-0.41283</v>
      </c>
      <c r="E83" s="22">
        <v>0.106735</v>
      </c>
      <c r="F83" s="19">
        <f>0.045*1.39</f>
        <v>0.06255</v>
      </c>
      <c r="G83" s="26">
        <f>-0.119*1.39</f>
        <v>-0.16540999999999997</v>
      </c>
      <c r="H83" s="26">
        <v>13.9</v>
      </c>
      <c r="I83" s="169">
        <f t="shared" si="9"/>
        <v>1.899939101513094</v>
      </c>
      <c r="K83" s="117">
        <v>13</v>
      </c>
      <c r="L83" s="118">
        <v>5</v>
      </c>
      <c r="M83" s="119">
        <v>0.608</v>
      </c>
      <c r="N83" s="131">
        <v>0.423</v>
      </c>
      <c r="O83" s="135">
        <v>0.874649</v>
      </c>
      <c r="P83" s="131">
        <v>-0.551</v>
      </c>
      <c r="Q83" s="119">
        <v>-0.995</v>
      </c>
      <c r="R83" s="120">
        <v>21.24</v>
      </c>
      <c r="S83" s="5">
        <f>L83*((E$22/O83)-1)</f>
        <v>0.7754024757359801</v>
      </c>
    </row>
    <row r="84" spans="1:19" ht="18" customHeight="1">
      <c r="A84" s="32">
        <v>-3</v>
      </c>
      <c r="B84" s="18">
        <v>2</v>
      </c>
      <c r="C84" s="78">
        <f>-0.91*1.29</f>
        <v>-1.1739000000000002</v>
      </c>
      <c r="D84" s="19">
        <f>-0.428*1.29</f>
        <v>-0.55212</v>
      </c>
      <c r="E84" s="22">
        <v>0.08077</v>
      </c>
      <c r="F84" s="19">
        <f>0.193*1.29</f>
        <v>0.24897000000000002</v>
      </c>
      <c r="G84" s="26">
        <f>0.133*1.29</f>
        <v>0.17157</v>
      </c>
      <c r="H84" s="26">
        <v>12.9</v>
      </c>
      <c r="I84" s="169">
        <f t="shared" si="9"/>
        <v>1.64722050266188</v>
      </c>
      <c r="K84" s="117">
        <v>12</v>
      </c>
      <c r="L84" s="118">
        <v>5</v>
      </c>
      <c r="M84" s="119">
        <v>0.558</v>
      </c>
      <c r="N84" s="131">
        <v>0.412</v>
      </c>
      <c r="O84" s="135">
        <v>0.78479</v>
      </c>
      <c r="P84" s="131">
        <v>-0.46</v>
      </c>
      <c r="Q84" s="119">
        <v>-0.912</v>
      </c>
      <c r="R84" s="120">
        <v>21.15</v>
      </c>
      <c r="S84" s="5">
        <f>L84*((E$30/O84)-1)</f>
        <v>0.8309292931867129</v>
      </c>
    </row>
    <row r="85" spans="1:19" ht="18" customHeight="1" thickBot="1">
      <c r="A85" s="33">
        <v>-3</v>
      </c>
      <c r="B85" s="34">
        <v>1</v>
      </c>
      <c r="C85" s="79">
        <f>-1.043*1.22</f>
        <v>-1.27246</v>
      </c>
      <c r="D85" s="38">
        <f>-0.507*1.22</f>
        <v>-0.61854</v>
      </c>
      <c r="E85" s="36">
        <v>0.059319</v>
      </c>
      <c r="F85" s="38">
        <f>0.286*1.22</f>
        <v>0.34891999999999995</v>
      </c>
      <c r="G85" s="37">
        <f>0.301*1.22</f>
        <v>0.36722</v>
      </c>
      <c r="H85" s="37">
        <v>12.2</v>
      </c>
      <c r="I85" s="170">
        <f t="shared" si="9"/>
        <v>1.4830661339537081</v>
      </c>
      <c r="K85" s="117">
        <v>9</v>
      </c>
      <c r="L85" s="118">
        <v>5</v>
      </c>
      <c r="M85" s="119">
        <v>0.198</v>
      </c>
      <c r="N85" s="131">
        <v>0.185</v>
      </c>
      <c r="O85" s="135">
        <v>0.566113</v>
      </c>
      <c r="P85" s="131">
        <v>-0.428</v>
      </c>
      <c r="Q85" s="119">
        <v>-0.771</v>
      </c>
      <c r="R85" s="120">
        <v>18.42</v>
      </c>
      <c r="S85" s="5">
        <f>L85*((E$38/O85)-1)</f>
        <v>0.9594815875982365</v>
      </c>
    </row>
    <row r="86" spans="1:19" ht="18" customHeight="1">
      <c r="A86" s="66">
        <v>-8</v>
      </c>
      <c r="B86" s="31">
        <v>10000</v>
      </c>
      <c r="C86" s="77">
        <v>0.73</v>
      </c>
      <c r="D86" s="67">
        <v>0.36</v>
      </c>
      <c r="E86" s="71">
        <v>0.071035</v>
      </c>
      <c r="F86" s="67">
        <v>-0.557</v>
      </c>
      <c r="G86" s="69">
        <v>-1.25</v>
      </c>
      <c r="H86" s="69">
        <v>13.82</v>
      </c>
      <c r="I86" s="169"/>
      <c r="K86" s="117">
        <v>7</v>
      </c>
      <c r="L86" s="118">
        <v>5</v>
      </c>
      <c r="M86" s="119">
        <v>0.096</v>
      </c>
      <c r="N86" s="131">
        <v>0.104</v>
      </c>
      <c r="O86" s="136">
        <v>0.44091</v>
      </c>
      <c r="P86" s="131">
        <v>-0.31</v>
      </c>
      <c r="Q86" s="119">
        <v>-0.69</v>
      </c>
      <c r="R86" s="120">
        <v>19.21</v>
      </c>
      <c r="S86" s="5">
        <f>L86*((E$46/O86)-1)</f>
        <v>1.0748338663219248</v>
      </c>
    </row>
    <row r="87" spans="1:19" ht="18" customHeight="1">
      <c r="A87" s="32">
        <v>-8</v>
      </c>
      <c r="B87" s="18">
        <v>200</v>
      </c>
      <c r="C87" s="78">
        <v>0.406</v>
      </c>
      <c r="D87" s="19">
        <v>0.25</v>
      </c>
      <c r="E87" s="22">
        <v>0.069979</v>
      </c>
      <c r="F87" s="19">
        <v>-0.52</v>
      </c>
      <c r="G87" s="26">
        <v>-1.194</v>
      </c>
      <c r="H87" s="26">
        <v>13.78</v>
      </c>
      <c r="I87" s="169">
        <f>B87*((E$86/E87)-1)</f>
        <v>3.0180482716243517</v>
      </c>
      <c r="K87" s="117">
        <v>6</v>
      </c>
      <c r="L87" s="118">
        <v>5</v>
      </c>
      <c r="M87" s="119">
        <v>-0.053</v>
      </c>
      <c r="N87" s="131">
        <v>-0.026</v>
      </c>
      <c r="O87" s="136">
        <v>0.39111</v>
      </c>
      <c r="P87" s="131">
        <v>-0.315</v>
      </c>
      <c r="Q87" s="119">
        <v>-0.603</v>
      </c>
      <c r="R87" s="120">
        <v>16.87</v>
      </c>
      <c r="S87" s="5">
        <f>L87*((E$54/O87)-1)</f>
        <v>1.1334407200020447</v>
      </c>
    </row>
    <row r="88" spans="1:19" ht="18" customHeight="1">
      <c r="A88" s="32">
        <v>-8</v>
      </c>
      <c r="B88" s="18">
        <v>50</v>
      </c>
      <c r="C88" s="78">
        <v>-0.217</v>
      </c>
      <c r="D88" s="19">
        <v>-0.004</v>
      </c>
      <c r="E88" s="22">
        <v>0.067093</v>
      </c>
      <c r="F88" s="19">
        <v>-0.409</v>
      </c>
      <c r="G88" s="26">
        <v>-1.045</v>
      </c>
      <c r="H88" s="26">
        <v>13.68</v>
      </c>
      <c r="I88" s="169">
        <f aca="true" t="shared" si="10" ref="I88:I93">B88*((E$86/E88)-1)</f>
        <v>2.9377133232975083</v>
      </c>
      <c r="K88" s="117">
        <v>3</v>
      </c>
      <c r="L88" s="118">
        <v>5</v>
      </c>
      <c r="M88" s="119">
        <v>-0.286</v>
      </c>
      <c r="N88" s="131">
        <v>-0.082</v>
      </c>
      <c r="O88" s="136">
        <v>0.25969</v>
      </c>
      <c r="P88" s="131">
        <v>-0.14</v>
      </c>
      <c r="Q88" s="119">
        <v>-0.45</v>
      </c>
      <c r="R88" s="120">
        <v>15.74</v>
      </c>
      <c r="S88" s="5">
        <f>L88*((E$62/O88)-1)</f>
        <v>1.3434479571797142</v>
      </c>
    </row>
    <row r="89" spans="1:19" ht="18" customHeight="1">
      <c r="A89" s="32">
        <v>-8</v>
      </c>
      <c r="B89" s="18">
        <v>20</v>
      </c>
      <c r="C89" s="78">
        <v>-0.875</v>
      </c>
      <c r="D89" s="19">
        <v>-0.327</v>
      </c>
      <c r="E89" s="22">
        <v>0.062236</v>
      </c>
      <c r="F89" s="19">
        <v>-0.239</v>
      </c>
      <c r="G89" s="26">
        <v>-0.798</v>
      </c>
      <c r="H89" s="26">
        <v>13.48</v>
      </c>
      <c r="I89" s="169">
        <f t="shared" si="10"/>
        <v>2.827623883282988</v>
      </c>
      <c r="K89" s="117">
        <v>0</v>
      </c>
      <c r="L89" s="118">
        <v>5</v>
      </c>
      <c r="M89" s="119">
        <v>-0.596</v>
      </c>
      <c r="N89" s="131">
        <v>-0.237</v>
      </c>
      <c r="O89" s="136">
        <v>0.167456</v>
      </c>
      <c r="P89" s="131">
        <v>-0.03</v>
      </c>
      <c r="Q89" s="119">
        <v>-0.279</v>
      </c>
      <c r="R89" s="120">
        <v>15.34</v>
      </c>
      <c r="S89" s="5">
        <f>L89*((E$70/O89)-1)</f>
        <v>1.594120246512517</v>
      </c>
    </row>
    <row r="90" spans="1:19" ht="18" customHeight="1">
      <c r="A90" s="32">
        <v>-8</v>
      </c>
      <c r="B90" s="18">
        <v>10</v>
      </c>
      <c r="C90" s="78">
        <v>-1.413</v>
      </c>
      <c r="D90" s="19">
        <v>-0.623</v>
      </c>
      <c r="E90" s="22">
        <v>0.0526091</v>
      </c>
      <c r="F90" s="19">
        <v>-0.041</v>
      </c>
      <c r="G90" s="26">
        <v>-0.499</v>
      </c>
      <c r="H90" s="26">
        <v>13.17</v>
      </c>
      <c r="I90" s="169">
        <f t="shared" si="10"/>
        <v>3.50241688225041</v>
      </c>
      <c r="K90" s="117">
        <v>-3</v>
      </c>
      <c r="L90" s="118">
        <v>5</v>
      </c>
      <c r="M90" s="119">
        <f>-0.697*1.39</f>
        <v>-0.9688299999999999</v>
      </c>
      <c r="N90" s="131">
        <f>-0.297*1.39</f>
        <v>-0.41283</v>
      </c>
      <c r="O90" s="136">
        <v>0.106735</v>
      </c>
      <c r="P90" s="131">
        <f>0.045*1.39</f>
        <v>0.06255</v>
      </c>
      <c r="Q90" s="119">
        <f>-0.119*1.39</f>
        <v>-0.16540999999999997</v>
      </c>
      <c r="R90" s="120">
        <v>13.9</v>
      </c>
      <c r="S90" s="5">
        <f>L90*((E$78/O90)-1)</f>
        <v>1.899939101513094</v>
      </c>
    </row>
    <row r="91" spans="1:19" ht="18" customHeight="1">
      <c r="A91" s="32">
        <v>-8</v>
      </c>
      <c r="B91" s="18">
        <v>5</v>
      </c>
      <c r="C91" s="78">
        <v>-1.92</v>
      </c>
      <c r="D91" s="19">
        <v>-0.923</v>
      </c>
      <c r="E91" s="22">
        <v>0.047433</v>
      </c>
      <c r="F91" s="19">
        <v>0.198</v>
      </c>
      <c r="G91" s="26">
        <v>-0.113</v>
      </c>
      <c r="H91" s="26">
        <v>12.66</v>
      </c>
      <c r="I91" s="169">
        <f t="shared" si="10"/>
        <v>2.487930343853435</v>
      </c>
      <c r="K91" s="117">
        <v>-8</v>
      </c>
      <c r="L91" s="118">
        <v>5</v>
      </c>
      <c r="M91" s="119">
        <v>-1.92</v>
      </c>
      <c r="N91" s="131">
        <v>-0.923</v>
      </c>
      <c r="O91" s="136">
        <v>0.047433</v>
      </c>
      <c r="P91" s="131">
        <v>0.198</v>
      </c>
      <c r="Q91" s="119">
        <v>-0.113</v>
      </c>
      <c r="R91" s="120">
        <v>12.66</v>
      </c>
      <c r="S91" s="5">
        <f>L91*((E$86/O91)-1)</f>
        <v>2.487930343853435</v>
      </c>
    </row>
    <row r="92" spans="1:19" ht="18" customHeight="1">
      <c r="A92" s="32">
        <v>-8</v>
      </c>
      <c r="B92" s="18">
        <v>2</v>
      </c>
      <c r="C92" s="78">
        <v>-2.429</v>
      </c>
      <c r="D92" s="19">
        <v>-1.236</v>
      </c>
      <c r="E92" s="22">
        <v>0.033655</v>
      </c>
      <c r="F92" s="19">
        <v>0.501</v>
      </c>
      <c r="G92" s="26">
        <v>0.407</v>
      </c>
      <c r="H92" s="26">
        <v>11.74</v>
      </c>
      <c r="I92" s="169">
        <f t="shared" si="10"/>
        <v>2.221363838954093</v>
      </c>
      <c r="K92" s="117">
        <v>-12</v>
      </c>
      <c r="L92" s="118">
        <v>5</v>
      </c>
      <c r="M92" s="119">
        <v>-3.048</v>
      </c>
      <c r="N92" s="131">
        <v>-1.26</v>
      </c>
      <c r="O92" s="136">
        <v>0.022915</v>
      </c>
      <c r="P92" s="131">
        <v>0.163</v>
      </c>
      <c r="Q92" s="119">
        <v>0.026</v>
      </c>
      <c r="R92" s="120">
        <v>12.21</v>
      </c>
      <c r="S92" s="5">
        <f>L92*((E$94/O92)-1)</f>
        <v>2.957887846388828</v>
      </c>
    </row>
    <row r="93" spans="1:19" ht="18" customHeight="1" thickBot="1">
      <c r="A93" s="33">
        <v>-8</v>
      </c>
      <c r="B93" s="34">
        <v>1</v>
      </c>
      <c r="C93" s="79">
        <v>-2.675</v>
      </c>
      <c r="D93" s="38">
        <v>-1.392</v>
      </c>
      <c r="E93" s="36">
        <v>0.023347</v>
      </c>
      <c r="F93" s="38">
        <v>0.674</v>
      </c>
      <c r="G93" s="37">
        <v>0.729</v>
      </c>
      <c r="H93" s="37">
        <v>11.02</v>
      </c>
      <c r="I93" s="170">
        <f t="shared" si="10"/>
        <v>2.042575063177282</v>
      </c>
      <c r="K93" s="117">
        <v>-17</v>
      </c>
      <c r="L93" s="118">
        <v>5</v>
      </c>
      <c r="M93" s="119">
        <v>-4.672</v>
      </c>
      <c r="N93" s="131">
        <v>-1.714</v>
      </c>
      <c r="O93" s="136">
        <v>0.008927</v>
      </c>
      <c r="P93" s="131">
        <v>0.314</v>
      </c>
      <c r="Q93" s="119">
        <v>0.203</v>
      </c>
      <c r="R93" s="120">
        <v>13.23</v>
      </c>
      <c r="S93" s="5">
        <f>L93*((E$102/O93)-1)</f>
        <v>3.3734737313767225</v>
      </c>
    </row>
    <row r="94" spans="1:19" ht="18" customHeight="1">
      <c r="A94" s="66">
        <v>-12</v>
      </c>
      <c r="B94" s="31">
        <v>10000</v>
      </c>
      <c r="C94" s="77">
        <v>0.739</v>
      </c>
      <c r="D94" s="67">
        <v>0.477</v>
      </c>
      <c r="E94" s="71">
        <v>0.036471</v>
      </c>
      <c r="F94" s="67">
        <v>-0.762</v>
      </c>
      <c r="G94" s="69">
        <v>-1.313</v>
      </c>
      <c r="H94" s="69">
        <v>12.91</v>
      </c>
      <c r="I94" s="169"/>
      <c r="K94" s="117">
        <v>-20</v>
      </c>
      <c r="L94" s="118">
        <v>5</v>
      </c>
      <c r="M94" s="119">
        <v>-4.289</v>
      </c>
      <c r="N94" s="131">
        <v>-1.579</v>
      </c>
      <c r="O94" s="136">
        <v>0.005296</v>
      </c>
      <c r="P94" s="131">
        <v>0.279</v>
      </c>
      <c r="Q94" s="119">
        <v>0.71</v>
      </c>
      <c r="R94" s="120">
        <v>11.96</v>
      </c>
      <c r="S94" s="5">
        <f>L94*((E$110/O94)-1)</f>
        <v>3.5130287009063443</v>
      </c>
    </row>
    <row r="95" spans="1:19" ht="27" customHeight="1">
      <c r="A95" s="32">
        <v>-12</v>
      </c>
      <c r="B95" s="18">
        <v>200</v>
      </c>
      <c r="C95" s="78">
        <v>0.369</v>
      </c>
      <c r="D95" s="19">
        <v>0.355</v>
      </c>
      <c r="E95" s="22">
        <v>0.035868</v>
      </c>
      <c r="F95" s="19">
        <v>-0.718</v>
      </c>
      <c r="G95" s="26">
        <v>-1.254</v>
      </c>
      <c r="H95" s="26">
        <v>12.91</v>
      </c>
      <c r="I95" s="169">
        <f>B95*((E$94/E95)-1)</f>
        <v>3.362328537972603</v>
      </c>
      <c r="K95" s="122"/>
      <c r="L95" s="118"/>
      <c r="M95" s="123"/>
      <c r="N95" s="133"/>
      <c r="O95" s="134"/>
      <c r="P95" s="133"/>
      <c r="Q95" s="123"/>
      <c r="R95" s="124"/>
      <c r="S95" s="1" t="s">
        <v>17</v>
      </c>
    </row>
    <row r="96" spans="1:19" ht="17.25" customHeight="1">
      <c r="A96" s="32">
        <v>-12</v>
      </c>
      <c r="B96" s="18">
        <v>50</v>
      </c>
      <c r="C96" s="78">
        <v>-0.413</v>
      </c>
      <c r="D96" s="19">
        <v>0.047</v>
      </c>
      <c r="E96" s="22">
        <v>0.034218</v>
      </c>
      <c r="F96" s="19">
        <v>-0.602</v>
      </c>
      <c r="G96" s="26">
        <v>-1.092</v>
      </c>
      <c r="H96" s="26">
        <v>12.85</v>
      </c>
      <c r="I96" s="169">
        <f aca="true" t="shared" si="11" ref="I96:I101">B96*((E$94/E96)-1)</f>
        <v>3.292126950727692</v>
      </c>
      <c r="K96" s="117">
        <v>18</v>
      </c>
      <c r="L96" s="118">
        <v>2</v>
      </c>
      <c r="M96" s="119">
        <v>0.853</v>
      </c>
      <c r="N96" s="131">
        <v>0.533</v>
      </c>
      <c r="O96" s="132">
        <v>1.2247</v>
      </c>
      <c r="P96" s="131">
        <v>-0.62</v>
      </c>
      <c r="Q96" s="119">
        <v>-1.54</v>
      </c>
      <c r="R96" s="120">
        <v>23.45</v>
      </c>
      <c r="S96" s="5">
        <f>L96*((E$6/O96)-1)</f>
        <v>0.6004735853678453</v>
      </c>
    </row>
    <row r="97" spans="1:19" ht="18" customHeight="1">
      <c r="A97" s="32">
        <v>-12</v>
      </c>
      <c r="B97" s="18">
        <v>20</v>
      </c>
      <c r="C97" s="78">
        <v>-1.335</v>
      </c>
      <c r="D97" s="19">
        <v>-0.374</v>
      </c>
      <c r="E97" s="22">
        <v>0.031423</v>
      </c>
      <c r="F97" s="19">
        <v>-0.406</v>
      </c>
      <c r="G97" s="26">
        <v>-0.813</v>
      </c>
      <c r="H97" s="26">
        <v>12.74</v>
      </c>
      <c r="I97" s="169">
        <f t="shared" si="11"/>
        <v>3.2129332017948675</v>
      </c>
      <c r="K97" s="117">
        <v>15</v>
      </c>
      <c r="L97" s="118">
        <v>2</v>
      </c>
      <c r="M97" s="119">
        <v>0.57</v>
      </c>
      <c r="N97" s="131">
        <v>0.386</v>
      </c>
      <c r="O97" s="132">
        <v>0.9122</v>
      </c>
      <c r="P97" s="131">
        <v>-0.601</v>
      </c>
      <c r="Q97" s="119">
        <v>-0.955</v>
      </c>
      <c r="R97" s="120">
        <v>21.25</v>
      </c>
      <c r="S97" s="5">
        <f>L97*((E$15/O97)-1)</f>
        <v>0.6748520061390044</v>
      </c>
    </row>
    <row r="98" spans="1:19" ht="18" customHeight="1">
      <c r="A98" s="32">
        <v>-12</v>
      </c>
      <c r="B98" s="18">
        <v>10</v>
      </c>
      <c r="C98" s="78">
        <v>-2.178</v>
      </c>
      <c r="D98" s="19">
        <v>-0.795</v>
      </c>
      <c r="E98" s="22">
        <v>0.027873</v>
      </c>
      <c r="F98" s="19">
        <v>-0.162</v>
      </c>
      <c r="G98" s="26">
        <v>-0.462</v>
      </c>
      <c r="H98" s="26">
        <v>12.55</v>
      </c>
      <c r="I98" s="169">
        <f t="shared" si="11"/>
        <v>3.0847056291034347</v>
      </c>
      <c r="K98" s="117">
        <v>13</v>
      </c>
      <c r="L98" s="118">
        <v>2</v>
      </c>
      <c r="M98" s="119">
        <v>0.41</v>
      </c>
      <c r="N98" s="131">
        <v>0.313</v>
      </c>
      <c r="O98" s="132">
        <v>0.73449</v>
      </c>
      <c r="P98" s="131">
        <v>-0.44</v>
      </c>
      <c r="Q98" s="119">
        <v>-0.806</v>
      </c>
      <c r="R98" s="120">
        <v>20.31</v>
      </c>
      <c r="S98" s="5">
        <f>L98*((E$22/O98)-1)</f>
        <v>0.7509972906370406</v>
      </c>
    </row>
    <row r="99" spans="1:19" ht="18" customHeight="1">
      <c r="A99" s="32">
        <v>-12</v>
      </c>
      <c r="B99" s="18">
        <v>5</v>
      </c>
      <c r="C99" s="78">
        <v>-3.048</v>
      </c>
      <c r="D99" s="19">
        <v>-1.26</v>
      </c>
      <c r="E99" s="22">
        <v>0.022915</v>
      </c>
      <c r="F99" s="19">
        <v>0.163</v>
      </c>
      <c r="G99" s="26">
        <v>0.026</v>
      </c>
      <c r="H99" s="26">
        <v>12.21</v>
      </c>
      <c r="I99" s="169">
        <f t="shared" si="11"/>
        <v>2.957887846388828</v>
      </c>
      <c r="K99" s="117">
        <v>12</v>
      </c>
      <c r="L99" s="118">
        <v>2</v>
      </c>
      <c r="M99" s="119">
        <v>0.352</v>
      </c>
      <c r="N99" s="131">
        <v>0.297</v>
      </c>
      <c r="O99" s="132">
        <v>0.655772</v>
      </c>
      <c r="P99" s="131">
        <v>-0.349</v>
      </c>
      <c r="Q99" s="119">
        <v>-0.715</v>
      </c>
      <c r="R99" s="120">
        <v>20.16</v>
      </c>
      <c r="S99" s="5">
        <f>L99*((E$30/O99)-1)</f>
        <v>0.7912475677522064</v>
      </c>
    </row>
    <row r="100" spans="1:19" ht="18" customHeight="1">
      <c r="A100" s="32">
        <v>-12</v>
      </c>
      <c r="B100" s="18">
        <v>2</v>
      </c>
      <c r="C100" s="78">
        <v>-3.995</v>
      </c>
      <c r="D100" s="19">
        <v>-1.798</v>
      </c>
      <c r="E100" s="22">
        <v>0.015363</v>
      </c>
      <c r="F100" s="19">
        <v>0.613</v>
      </c>
      <c r="G100" s="26">
        <v>0.751</v>
      </c>
      <c r="H100" s="26">
        <v>11.59</v>
      </c>
      <c r="I100" s="169">
        <f t="shared" si="11"/>
        <v>2.747900800624879</v>
      </c>
      <c r="K100" s="117">
        <v>9</v>
      </c>
      <c r="L100" s="118">
        <v>2</v>
      </c>
      <c r="M100" s="119">
        <v>0.045</v>
      </c>
      <c r="N100" s="131">
        <v>0.094</v>
      </c>
      <c r="O100" s="132">
        <v>0.46551</v>
      </c>
      <c r="P100" s="131">
        <v>-0.313</v>
      </c>
      <c r="Q100" s="119">
        <v>-0.572</v>
      </c>
      <c r="R100" s="120">
        <v>17.68</v>
      </c>
      <c r="S100" s="5">
        <f>L100*((E$38/O100)-1)</f>
        <v>0.8989624283044404</v>
      </c>
    </row>
    <row r="101" spans="1:19" ht="18" customHeight="1" thickBot="1">
      <c r="A101" s="33">
        <v>-12</v>
      </c>
      <c r="B101" s="34">
        <v>1</v>
      </c>
      <c r="C101" s="79">
        <v>-4.488</v>
      </c>
      <c r="D101" s="38">
        <v>-2.098</v>
      </c>
      <c r="E101" s="36">
        <v>0.010123</v>
      </c>
      <c r="F101" s="38">
        <v>0.899</v>
      </c>
      <c r="G101" s="37">
        <v>1.235</v>
      </c>
      <c r="H101" s="37">
        <v>11.07</v>
      </c>
      <c r="I101" s="170">
        <f t="shared" si="11"/>
        <v>2.6027857354539172</v>
      </c>
      <c r="K101" s="117">
        <v>7</v>
      </c>
      <c r="L101" s="118">
        <v>2</v>
      </c>
      <c r="M101" s="119">
        <v>-0.052</v>
      </c>
      <c r="N101" s="131">
        <v>0.005</v>
      </c>
      <c r="O101" s="132">
        <v>0.358783</v>
      </c>
      <c r="P101" s="131">
        <v>-0.19</v>
      </c>
      <c r="Q101" s="119">
        <v>-0.47</v>
      </c>
      <c r="R101" s="120">
        <v>18.51</v>
      </c>
      <c r="S101" s="5">
        <f>L101*((E$46/O101)-1)</f>
        <v>0.986155977289894</v>
      </c>
    </row>
    <row r="102" spans="1:19" ht="18" customHeight="1">
      <c r="A102" s="66">
        <v>-17</v>
      </c>
      <c r="B102" s="31">
        <v>10000</v>
      </c>
      <c r="C102" s="77">
        <v>1.007</v>
      </c>
      <c r="D102" s="67">
        <v>0.623</v>
      </c>
      <c r="E102" s="71">
        <v>0.01495</v>
      </c>
      <c r="F102" s="67">
        <v>-0.88</v>
      </c>
      <c r="G102" s="69">
        <v>-1.484</v>
      </c>
      <c r="H102" s="69">
        <v>13.66</v>
      </c>
      <c r="I102" s="169"/>
      <c r="K102" s="117">
        <v>6</v>
      </c>
      <c r="L102" s="118">
        <v>2</v>
      </c>
      <c r="M102" s="119">
        <v>-0.18</v>
      </c>
      <c r="N102" s="131">
        <v>-0.117</v>
      </c>
      <c r="O102" s="132">
        <v>0.31682</v>
      </c>
      <c r="P102" s="131">
        <v>-0.21</v>
      </c>
      <c r="Q102" s="119">
        <v>-0.401</v>
      </c>
      <c r="R102" s="120">
        <v>16.17</v>
      </c>
      <c r="S102" s="5">
        <f>L102*((E$54/O102)-1)</f>
        <v>1.028659806830377</v>
      </c>
    </row>
    <row r="103" spans="1:19" ht="18" customHeight="1">
      <c r="A103" s="32">
        <v>-17</v>
      </c>
      <c r="B103" s="18">
        <v>200</v>
      </c>
      <c r="C103" s="78">
        <v>0.508</v>
      </c>
      <c r="D103" s="19">
        <v>0.482</v>
      </c>
      <c r="E103" s="22">
        <v>0.014699</v>
      </c>
      <c r="F103" s="19">
        <v>0.834</v>
      </c>
      <c r="G103" s="26">
        <v>-1.422</v>
      </c>
      <c r="H103" s="26">
        <v>13.63</v>
      </c>
      <c r="I103" s="169">
        <f>B103*((E$102/E103)-1)</f>
        <v>3.4151983128103858</v>
      </c>
      <c r="K103" s="117">
        <v>3</v>
      </c>
      <c r="L103" s="118">
        <v>2</v>
      </c>
      <c r="M103" s="119">
        <v>-0.409</v>
      </c>
      <c r="N103" s="131">
        <v>-0.17</v>
      </c>
      <c r="O103" s="132">
        <v>0.206674</v>
      </c>
      <c r="P103" s="131">
        <v>-0.016</v>
      </c>
      <c r="Q103" s="119">
        <v>-0.229</v>
      </c>
      <c r="R103" s="120">
        <v>15.03</v>
      </c>
      <c r="S103" s="5">
        <f>L103*((E$62/O103)-1)</f>
        <v>1.188267513088245</v>
      </c>
    </row>
    <row r="104" spans="1:19" ht="18" customHeight="1">
      <c r="A104" s="32">
        <v>-17</v>
      </c>
      <c r="B104" s="18">
        <v>50</v>
      </c>
      <c r="C104" s="78">
        <v>-0.592</v>
      </c>
      <c r="D104" s="19">
        <v>0.11</v>
      </c>
      <c r="E104" s="22">
        <v>0.013965</v>
      </c>
      <c r="F104" s="19">
        <v>-0.696</v>
      </c>
      <c r="G104" s="26">
        <v>-1.233</v>
      </c>
      <c r="H104" s="26">
        <v>13.63</v>
      </c>
      <c r="I104" s="169">
        <f aca="true" t="shared" si="12" ref="I104:I109">B104*((E$102/E104)-1)</f>
        <v>3.526673827425708</v>
      </c>
      <c r="K104" s="117">
        <v>0</v>
      </c>
      <c r="L104" s="118">
        <v>2</v>
      </c>
      <c r="M104" s="119">
        <v>-0.744</v>
      </c>
      <c r="N104" s="131">
        <v>-0.343</v>
      </c>
      <c r="O104" s="132">
        <v>0.130539</v>
      </c>
      <c r="P104" s="131">
        <v>0.121</v>
      </c>
      <c r="Q104" s="119">
        <v>-0.002</v>
      </c>
      <c r="R104" s="120">
        <v>14.39</v>
      </c>
      <c r="S104" s="5">
        <f>L104*((E$70/O104)-1)</f>
        <v>1.3835865143750148</v>
      </c>
    </row>
    <row r="105" spans="1:19" ht="18" customHeight="1">
      <c r="A105" s="32">
        <v>-17</v>
      </c>
      <c r="B105" s="18">
        <v>20</v>
      </c>
      <c r="C105" s="78">
        <v>-1.978</v>
      </c>
      <c r="D105" s="19">
        <v>-0.44</v>
      </c>
      <c r="E105" s="22">
        <v>0.012728</v>
      </c>
      <c r="F105" s="19">
        <v>-0.45</v>
      </c>
      <c r="G105" s="26">
        <v>-0.9</v>
      </c>
      <c r="H105" s="26">
        <v>13.57</v>
      </c>
      <c r="I105" s="169">
        <f t="shared" si="12"/>
        <v>3.491514770584536</v>
      </c>
      <c r="K105" s="117">
        <v>-3</v>
      </c>
      <c r="L105" s="118">
        <v>2</v>
      </c>
      <c r="M105" s="119">
        <f>-0.91*1.29</f>
        <v>-1.1739000000000002</v>
      </c>
      <c r="N105" s="131">
        <f>-0.428*1.29</f>
        <v>-0.55212</v>
      </c>
      <c r="O105" s="132">
        <v>0.08077</v>
      </c>
      <c r="P105" s="131">
        <f>0.193*1.29</f>
        <v>0.24897000000000002</v>
      </c>
      <c r="Q105" s="119">
        <f>0.133*1.29</f>
        <v>0.17157</v>
      </c>
      <c r="R105" s="120">
        <v>12.9</v>
      </c>
      <c r="S105" s="5">
        <f>L105*((E$78/O105)-1)</f>
        <v>1.64722050266188</v>
      </c>
    </row>
    <row r="106" spans="1:19" ht="18" customHeight="1">
      <c r="A106" s="32">
        <v>-17</v>
      </c>
      <c r="B106" s="18">
        <v>10</v>
      </c>
      <c r="C106" s="78">
        <v>-3.289</v>
      </c>
      <c r="D106" s="19">
        <v>-1.029</v>
      </c>
      <c r="E106" s="22">
        <v>0.011139</v>
      </c>
      <c r="F106" s="19">
        <v>-0.133</v>
      </c>
      <c r="G106" s="26">
        <v>-0.449</v>
      </c>
      <c r="H106" s="26">
        <v>13.45</v>
      </c>
      <c r="I106" s="169">
        <f t="shared" si="12"/>
        <v>3.421312505610916</v>
      </c>
      <c r="K106" s="117">
        <v>-8</v>
      </c>
      <c r="L106" s="118">
        <v>2</v>
      </c>
      <c r="M106" s="119">
        <v>-2.429</v>
      </c>
      <c r="N106" s="131">
        <v>-1.236</v>
      </c>
      <c r="O106" s="132">
        <v>0.033655</v>
      </c>
      <c r="P106" s="131">
        <v>0.501</v>
      </c>
      <c r="Q106" s="119">
        <v>0.407</v>
      </c>
      <c r="R106" s="120">
        <v>11.74</v>
      </c>
      <c r="S106" s="5">
        <f>L106*((E$86/O106)-1)</f>
        <v>2.221363838954093</v>
      </c>
    </row>
    <row r="107" spans="1:19" ht="18" customHeight="1">
      <c r="A107" s="32">
        <v>-17</v>
      </c>
      <c r="B107" s="18">
        <v>5</v>
      </c>
      <c r="C107" s="78">
        <v>-4.672</v>
      </c>
      <c r="D107" s="19">
        <v>-1.714</v>
      </c>
      <c r="E107" s="22">
        <v>0.008927</v>
      </c>
      <c r="F107" s="19">
        <v>0.314</v>
      </c>
      <c r="G107" s="26">
        <v>0.203</v>
      </c>
      <c r="H107" s="26">
        <v>13.23</v>
      </c>
      <c r="I107" s="169">
        <f t="shared" si="12"/>
        <v>3.3734737313767225</v>
      </c>
      <c r="K107" s="117">
        <v>-12</v>
      </c>
      <c r="L107" s="118">
        <v>2</v>
      </c>
      <c r="M107" s="119">
        <v>-3.995</v>
      </c>
      <c r="N107" s="131">
        <v>-1.798</v>
      </c>
      <c r="O107" s="132">
        <v>0.015363</v>
      </c>
      <c r="P107" s="131">
        <v>0.613</v>
      </c>
      <c r="Q107" s="119">
        <v>0.751</v>
      </c>
      <c r="R107" s="120">
        <v>11.59</v>
      </c>
      <c r="S107" s="5">
        <f>L107*((E$94/O107)-1)</f>
        <v>2.747900800624879</v>
      </c>
    </row>
    <row r="108" spans="1:19" ht="18" customHeight="1">
      <c r="A108" s="32">
        <v>-17</v>
      </c>
      <c r="B108" s="18">
        <v>2</v>
      </c>
      <c r="C108" s="78">
        <v>-6.131</v>
      </c>
      <c r="D108" s="19">
        <v>-2.546</v>
      </c>
      <c r="E108" s="22">
        <v>0.005688</v>
      </c>
      <c r="F108" s="19">
        <v>0.98</v>
      </c>
      <c r="G108" s="26">
        <v>1.229</v>
      </c>
      <c r="H108" s="26">
        <v>12.79</v>
      </c>
      <c r="I108" s="169">
        <f t="shared" si="12"/>
        <v>3.256680731364275</v>
      </c>
      <c r="K108" s="117">
        <v>-17</v>
      </c>
      <c r="L108" s="118">
        <v>2</v>
      </c>
      <c r="M108" s="119">
        <v>-6.131</v>
      </c>
      <c r="N108" s="131">
        <v>-2.546</v>
      </c>
      <c r="O108" s="132">
        <v>0.005688</v>
      </c>
      <c r="P108" s="131">
        <v>0.98</v>
      </c>
      <c r="Q108" s="119">
        <v>1.229</v>
      </c>
      <c r="R108" s="120">
        <v>12.79</v>
      </c>
      <c r="S108" s="5">
        <f>L108*((E$102/O108)-1)</f>
        <v>3.256680731364275</v>
      </c>
    </row>
    <row r="109" spans="1:19" ht="18" customHeight="1" thickBot="1">
      <c r="A109" s="33">
        <v>-17</v>
      </c>
      <c r="B109" s="34">
        <v>1</v>
      </c>
      <c r="C109" s="79">
        <v>-6.906</v>
      </c>
      <c r="D109" s="38">
        <v>-2.974</v>
      </c>
      <c r="E109" s="36">
        <v>0.003577</v>
      </c>
      <c r="F109" s="38">
        <v>1.439</v>
      </c>
      <c r="G109" s="37">
        <v>1.973</v>
      </c>
      <c r="H109" s="37">
        <v>12.5</v>
      </c>
      <c r="I109" s="170">
        <f t="shared" si="12"/>
        <v>3.179480011182555</v>
      </c>
      <c r="K109" s="117">
        <v>-20</v>
      </c>
      <c r="L109" s="118">
        <v>2</v>
      </c>
      <c r="M109" s="119">
        <v>-5.732</v>
      </c>
      <c r="N109" s="131">
        <v>-2.374</v>
      </c>
      <c r="O109" s="132">
        <v>0.003315</v>
      </c>
      <c r="P109" s="131">
        <v>0.953</v>
      </c>
      <c r="Q109" s="119">
        <v>1.723</v>
      </c>
      <c r="R109" s="120">
        <v>11.7</v>
      </c>
      <c r="S109" s="5">
        <f>L109*((E$110/O109)-1)</f>
        <v>3.4401206636500765</v>
      </c>
    </row>
    <row r="110" spans="1:19" ht="27.75" customHeight="1">
      <c r="A110" s="66">
        <v>-20</v>
      </c>
      <c r="B110" s="31">
        <v>10000</v>
      </c>
      <c r="C110" s="77">
        <v>1.108</v>
      </c>
      <c r="D110" s="67">
        <v>0.604</v>
      </c>
      <c r="E110" s="71">
        <v>0.009017</v>
      </c>
      <c r="F110" s="67">
        <v>-0.859</v>
      </c>
      <c r="G110" s="69">
        <v>-0.874</v>
      </c>
      <c r="H110" s="69">
        <v>12.23</v>
      </c>
      <c r="I110" s="169"/>
      <c r="K110" s="122"/>
      <c r="L110" s="118"/>
      <c r="M110" s="123"/>
      <c r="N110" s="133"/>
      <c r="O110" s="134"/>
      <c r="P110" s="133"/>
      <c r="Q110" s="123"/>
      <c r="R110" s="124"/>
      <c r="S110" s="1" t="s">
        <v>18</v>
      </c>
    </row>
    <row r="111" spans="1:19" ht="16.5" customHeight="1">
      <c r="A111" s="32">
        <v>-20</v>
      </c>
      <c r="B111" s="18">
        <v>200</v>
      </c>
      <c r="C111" s="78">
        <v>0.663</v>
      </c>
      <c r="D111" s="19">
        <v>0.479</v>
      </c>
      <c r="E111" s="22">
        <v>0.008856</v>
      </c>
      <c r="F111" s="19">
        <v>-0.806</v>
      </c>
      <c r="G111" s="26">
        <v>-0.813</v>
      </c>
      <c r="H111" s="26">
        <v>12.23</v>
      </c>
      <c r="I111" s="169">
        <f>B111*((E$110/E111)-1)</f>
        <v>3.6359530261969475</v>
      </c>
      <c r="K111" s="117">
        <v>18</v>
      </c>
      <c r="L111" s="118">
        <v>1</v>
      </c>
      <c r="M111" s="119">
        <v>0.714</v>
      </c>
      <c r="N111" s="131">
        <v>0.459</v>
      </c>
      <c r="O111" s="132">
        <v>0.99885</v>
      </c>
      <c r="P111" s="131">
        <v>-0.54</v>
      </c>
      <c r="Q111" s="119">
        <v>-1.4</v>
      </c>
      <c r="R111" s="120">
        <v>22.35</v>
      </c>
      <c r="S111" s="5">
        <f>L111*((E$6/O111)-1)</f>
        <v>0.5942333683736296</v>
      </c>
    </row>
    <row r="112" spans="1:19" ht="18" customHeight="1">
      <c r="A112" s="32">
        <v>-20</v>
      </c>
      <c r="B112" s="18">
        <v>50</v>
      </c>
      <c r="C112" s="78">
        <v>-0.366</v>
      </c>
      <c r="D112" s="19">
        <v>0.143</v>
      </c>
      <c r="E112" s="22">
        <v>0.008414</v>
      </c>
      <c r="F112" s="19">
        <v>-0.681</v>
      </c>
      <c r="G112" s="26">
        <v>-0.638</v>
      </c>
      <c r="H112" s="26">
        <v>12.18</v>
      </c>
      <c r="I112" s="169">
        <f aca="true" t="shared" si="13" ref="I112:I117">B112*((E$110/E112)-1)</f>
        <v>3.5833135250772585</v>
      </c>
      <c r="K112" s="117">
        <v>15</v>
      </c>
      <c r="L112" s="118">
        <v>1</v>
      </c>
      <c r="M112" s="119">
        <v>0.427</v>
      </c>
      <c r="N112" s="131">
        <v>0.303</v>
      </c>
      <c r="O112" s="132">
        <v>0.73328</v>
      </c>
      <c r="P112" s="131">
        <v>-0.507</v>
      </c>
      <c r="Q112" s="119">
        <v>-0.797</v>
      </c>
      <c r="R112" s="120">
        <v>20.41</v>
      </c>
      <c r="S112" s="5">
        <f>L112*((E$15/O112)-1)</f>
        <v>0.6637573641719396</v>
      </c>
    </row>
    <row r="113" spans="1:19" ht="18" customHeight="1">
      <c r="A113" s="32">
        <v>-20</v>
      </c>
      <c r="B113" s="18">
        <v>20</v>
      </c>
      <c r="C113" s="78">
        <v>-1.694</v>
      </c>
      <c r="D113" s="19">
        <v>-0.358</v>
      </c>
      <c r="E113" s="22">
        <v>0.007649</v>
      </c>
      <c r="F113" s="19">
        <v>-0.456</v>
      </c>
      <c r="G113" s="26">
        <v>-0.336</v>
      </c>
      <c r="H113" s="26">
        <v>12.14</v>
      </c>
      <c r="I113" s="169">
        <f t="shared" si="13"/>
        <v>3.576938161851224</v>
      </c>
      <c r="K113" s="117">
        <v>13</v>
      </c>
      <c r="L113" s="118">
        <v>1</v>
      </c>
      <c r="M113" s="119">
        <v>0.27</v>
      </c>
      <c r="N113" s="131">
        <v>0.232</v>
      </c>
      <c r="O113" s="132">
        <v>0.58519</v>
      </c>
      <c r="P113" s="131">
        <v>-0.351</v>
      </c>
      <c r="Q113" s="119">
        <v>-0.654</v>
      </c>
      <c r="R113" s="120">
        <v>19.57</v>
      </c>
      <c r="S113" s="5">
        <f>L113*((E$22/O113)-1)</f>
        <v>0.7264307318990413</v>
      </c>
    </row>
    <row r="114" spans="1:19" ht="18" customHeight="1">
      <c r="A114" s="32">
        <v>-20</v>
      </c>
      <c r="B114" s="18">
        <v>10</v>
      </c>
      <c r="C114" s="78">
        <v>-2.958</v>
      </c>
      <c r="D114" s="19">
        <v>-0.913</v>
      </c>
      <c r="E114" s="22">
        <v>0.006664</v>
      </c>
      <c r="F114" s="19">
        <v>-0.16</v>
      </c>
      <c r="G114" s="26">
        <v>0.078</v>
      </c>
      <c r="H114" s="26">
        <v>12.06</v>
      </c>
      <c r="I114" s="169">
        <f t="shared" si="13"/>
        <v>3.5309123649459795</v>
      </c>
      <c r="K114" s="117">
        <v>12</v>
      </c>
      <c r="L114" s="118">
        <v>1</v>
      </c>
      <c r="M114" s="119">
        <v>0.218</v>
      </c>
      <c r="N114" s="131">
        <v>0.218</v>
      </c>
      <c r="O114" s="132">
        <v>0.520229</v>
      </c>
      <c r="P114" s="131">
        <v>-0.277</v>
      </c>
      <c r="Q114" s="119">
        <v>-0.564</v>
      </c>
      <c r="R114" s="120">
        <v>19.48</v>
      </c>
      <c r="S114" s="5">
        <f>L114*((E$30/O114)-1)</f>
        <v>0.7592464087930506</v>
      </c>
    </row>
    <row r="115" spans="1:19" ht="18" customHeight="1">
      <c r="A115" s="32">
        <v>-20</v>
      </c>
      <c r="B115" s="18">
        <v>5</v>
      </c>
      <c r="C115" s="78">
        <v>-4.289</v>
      </c>
      <c r="D115" s="19">
        <v>-1.579</v>
      </c>
      <c r="E115" s="22">
        <v>0.005296</v>
      </c>
      <c r="F115" s="19">
        <v>0.279</v>
      </c>
      <c r="G115" s="26">
        <v>0.71</v>
      </c>
      <c r="H115" s="26">
        <v>11.96</v>
      </c>
      <c r="I115" s="169">
        <f t="shared" si="13"/>
        <v>3.5130287009063443</v>
      </c>
      <c r="K115" s="117">
        <v>9</v>
      </c>
      <c r="L115" s="118">
        <v>1</v>
      </c>
      <c r="M115" s="119">
        <v>-0.049</v>
      </c>
      <c r="N115" s="131">
        <v>0.035</v>
      </c>
      <c r="O115" s="132">
        <v>0.36491</v>
      </c>
      <c r="P115" s="131">
        <v>-0.233</v>
      </c>
      <c r="Q115" s="119">
        <v>-0.432</v>
      </c>
      <c r="R115" s="120">
        <v>17.15</v>
      </c>
      <c r="S115" s="5">
        <f>L115*((E$38/O115)-1)</f>
        <v>0.8490805952152585</v>
      </c>
    </row>
    <row r="116" spans="1:19" ht="18" customHeight="1">
      <c r="A116" s="32">
        <v>-20</v>
      </c>
      <c r="B116" s="18">
        <v>2</v>
      </c>
      <c r="C116" s="78">
        <v>-5.732</v>
      </c>
      <c r="D116" s="19">
        <v>-2.374</v>
      </c>
      <c r="E116" s="22">
        <v>0.003315</v>
      </c>
      <c r="F116" s="19">
        <v>0.953</v>
      </c>
      <c r="G116" s="26">
        <v>1.723</v>
      </c>
      <c r="H116" s="26">
        <v>11.7</v>
      </c>
      <c r="I116" s="169">
        <f t="shared" si="13"/>
        <v>3.4401206636500765</v>
      </c>
      <c r="K116" s="117">
        <v>7</v>
      </c>
      <c r="L116" s="118">
        <v>1</v>
      </c>
      <c r="M116" s="119">
        <v>-0.137</v>
      </c>
      <c r="N116" s="131">
        <v>-0.054</v>
      </c>
      <c r="O116" s="132">
        <v>0.27896</v>
      </c>
      <c r="P116" s="131">
        <v>-0.105</v>
      </c>
      <c r="Q116" s="119">
        <v>-0.317</v>
      </c>
      <c r="R116" s="120">
        <v>18.09</v>
      </c>
      <c r="S116" s="5">
        <f>L116*((E$46/O116)-1)</f>
        <v>0.9203147404645828</v>
      </c>
    </row>
    <row r="117" spans="1:19" ht="18" customHeight="1" thickBot="1">
      <c r="A117" s="33">
        <v>-20</v>
      </c>
      <c r="B117" s="34">
        <v>1</v>
      </c>
      <c r="C117" s="79">
        <v>-6.446</v>
      </c>
      <c r="D117" s="38">
        <v>-2.827</v>
      </c>
      <c r="E117" s="36">
        <v>0.002058</v>
      </c>
      <c r="F117" s="38">
        <v>1.385</v>
      </c>
      <c r="G117" s="37">
        <v>2.42</v>
      </c>
      <c r="H117" s="37">
        <v>11.4</v>
      </c>
      <c r="I117" s="170">
        <f t="shared" si="13"/>
        <v>3.3814382896015553</v>
      </c>
      <c r="K117" s="117">
        <v>6</v>
      </c>
      <c r="L117" s="118">
        <v>1</v>
      </c>
      <c r="M117" s="119">
        <v>-0.253</v>
      </c>
      <c r="N117" s="131">
        <v>-0.169</v>
      </c>
      <c r="O117" s="132">
        <v>0.24563</v>
      </c>
      <c r="P117" s="131">
        <v>-0.14</v>
      </c>
      <c r="Q117" s="119">
        <v>-0.27</v>
      </c>
      <c r="R117" s="120">
        <v>15.71</v>
      </c>
      <c r="S117" s="5">
        <f>L117*((E$54/O117)-1)</f>
        <v>0.9532223262630786</v>
      </c>
    </row>
    <row r="118" spans="11:19" ht="18" customHeight="1">
      <c r="K118" s="117">
        <v>3</v>
      </c>
      <c r="L118" s="118">
        <v>1</v>
      </c>
      <c r="M118" s="119">
        <v>-0.472</v>
      </c>
      <c r="N118" s="131">
        <v>-0.22</v>
      </c>
      <c r="O118" s="132">
        <v>0.158224</v>
      </c>
      <c r="P118" s="131">
        <v>0.052</v>
      </c>
      <c r="Q118" s="119">
        <v>-0.091</v>
      </c>
      <c r="R118" s="120">
        <v>14.51</v>
      </c>
      <c r="S118" s="5">
        <f>L118*((E$62/O118)-1)</f>
        <v>1.082275760946506</v>
      </c>
    </row>
    <row r="119" spans="1:19" ht="18" customHeight="1">
      <c r="A119" s="219" t="s">
        <v>29</v>
      </c>
      <c r="B119" s="220"/>
      <c r="C119" s="220"/>
      <c r="D119" s="220"/>
      <c r="E119" s="220"/>
      <c r="F119" s="220"/>
      <c r="G119" s="221"/>
      <c r="K119" s="117">
        <v>0</v>
      </c>
      <c r="L119" s="118">
        <v>1</v>
      </c>
      <c r="M119" s="119">
        <v>-0.811</v>
      </c>
      <c r="N119" s="131">
        <v>-0.393</v>
      </c>
      <c r="O119" s="132">
        <v>0.098278</v>
      </c>
      <c r="P119" s="131">
        <v>0.201</v>
      </c>
      <c r="Q119" s="119">
        <v>0.16</v>
      </c>
      <c r="R119" s="120">
        <v>13.68</v>
      </c>
      <c r="S119" s="5">
        <f>L119*((E$70/O119)-1)</f>
        <v>1.247145851563931</v>
      </c>
    </row>
    <row r="120" spans="1:19" ht="18" customHeight="1">
      <c r="A120" s="188">
        <v>-22</v>
      </c>
      <c r="B120" s="222" t="s">
        <v>80</v>
      </c>
      <c r="C120" s="223"/>
      <c r="D120" s="223"/>
      <c r="E120" s="223"/>
      <c r="F120" s="223"/>
      <c r="G120" s="224"/>
      <c r="K120" s="117">
        <v>-3</v>
      </c>
      <c r="L120" s="118">
        <v>1</v>
      </c>
      <c r="M120" s="119">
        <f>-1.043*1.22</f>
        <v>-1.27246</v>
      </c>
      <c r="N120" s="131">
        <f>-0.507*1.22</f>
        <v>-0.61854</v>
      </c>
      <c r="O120" s="132">
        <v>0.059319</v>
      </c>
      <c r="P120" s="131">
        <f>0.286*1.22</f>
        <v>0.34891999999999995</v>
      </c>
      <c r="Q120" s="119">
        <f>0.301*1.22</f>
        <v>0.36722</v>
      </c>
      <c r="R120" s="120">
        <v>12.2</v>
      </c>
      <c r="S120" s="5">
        <f>L120*((E$78/O120)-1)</f>
        <v>1.4830661339537081</v>
      </c>
    </row>
    <row r="121" spans="1:19" ht="18" customHeight="1">
      <c r="A121" s="188">
        <v>0</v>
      </c>
      <c r="B121" s="222" t="s">
        <v>82</v>
      </c>
      <c r="C121" s="223"/>
      <c r="D121" s="223"/>
      <c r="E121" s="223"/>
      <c r="F121" s="223"/>
      <c r="G121" s="224"/>
      <c r="K121" s="117">
        <v>-8</v>
      </c>
      <c r="L121" s="118">
        <v>1</v>
      </c>
      <c r="M121" s="119">
        <v>-2.675</v>
      </c>
      <c r="N121" s="131">
        <v>-1.392</v>
      </c>
      <c r="O121" s="132">
        <v>0.023347</v>
      </c>
      <c r="P121" s="131">
        <v>0.674</v>
      </c>
      <c r="Q121" s="119">
        <v>0.729</v>
      </c>
      <c r="R121" s="120">
        <v>11.02</v>
      </c>
      <c r="S121" s="5">
        <f>L121*((E$86/O121)-1)</f>
        <v>2.042575063177282</v>
      </c>
    </row>
    <row r="122" spans="1:19" ht="18" customHeight="1">
      <c r="A122" s="188">
        <v>23</v>
      </c>
      <c r="B122" s="222" t="s">
        <v>79</v>
      </c>
      <c r="C122" s="223"/>
      <c r="D122" s="223"/>
      <c r="E122" s="223"/>
      <c r="F122" s="223"/>
      <c r="G122" s="224"/>
      <c r="K122" s="117">
        <v>-12</v>
      </c>
      <c r="L122" s="118">
        <v>1</v>
      </c>
      <c r="M122" s="119">
        <v>-4.488</v>
      </c>
      <c r="N122" s="131">
        <v>-2.098</v>
      </c>
      <c r="O122" s="132">
        <v>0.010123</v>
      </c>
      <c r="P122" s="131">
        <v>0.899</v>
      </c>
      <c r="Q122" s="119">
        <v>1.235</v>
      </c>
      <c r="R122" s="120">
        <v>11.07</v>
      </c>
      <c r="S122" s="5">
        <f>L122*((E$94/O122)-1)</f>
        <v>2.6027857354539172</v>
      </c>
    </row>
    <row r="123" spans="1:19" ht="18" customHeight="1">
      <c r="A123" s="188">
        <v>50</v>
      </c>
      <c r="B123" s="222" t="s">
        <v>83</v>
      </c>
      <c r="C123" s="223"/>
      <c r="D123" s="223"/>
      <c r="E123" s="223"/>
      <c r="F123" s="223"/>
      <c r="G123" s="224"/>
      <c r="K123" s="117">
        <v>-17</v>
      </c>
      <c r="L123" s="118">
        <v>1</v>
      </c>
      <c r="M123" s="119">
        <v>-6.906</v>
      </c>
      <c r="N123" s="131">
        <v>-2.974</v>
      </c>
      <c r="O123" s="132">
        <v>0.003577</v>
      </c>
      <c r="P123" s="131">
        <v>1.439</v>
      </c>
      <c r="Q123" s="119">
        <v>1.973</v>
      </c>
      <c r="R123" s="120">
        <v>12.5</v>
      </c>
      <c r="S123" s="5">
        <f>L123*((E$102/O123)-1)</f>
        <v>3.179480011182555</v>
      </c>
    </row>
    <row r="124" spans="1:19" ht="18" customHeight="1" thickBot="1">
      <c r="A124" s="189">
        <v>71</v>
      </c>
      <c r="B124" s="206" t="s">
        <v>81</v>
      </c>
      <c r="C124" s="206"/>
      <c r="D124" s="206"/>
      <c r="E124" s="206"/>
      <c r="F124" s="206"/>
      <c r="G124" s="207"/>
      <c r="K124" s="125">
        <v>-20</v>
      </c>
      <c r="L124" s="126">
        <v>1</v>
      </c>
      <c r="M124" s="127">
        <v>-6.446</v>
      </c>
      <c r="N124" s="137">
        <v>-2.827</v>
      </c>
      <c r="O124" s="138">
        <v>0.002058</v>
      </c>
      <c r="P124" s="137">
        <v>1.385</v>
      </c>
      <c r="Q124" s="127">
        <v>2.42</v>
      </c>
      <c r="R124" s="128">
        <v>11.4</v>
      </c>
      <c r="S124" s="5">
        <f>L124*((E$110/O124)-1)</f>
        <v>3.3814382896015553</v>
      </c>
    </row>
    <row r="125" ht="18" customHeight="1" thickBot="1" thickTop="1"/>
    <row r="126" spans="11:18" ht="63.75" customHeight="1" thickTop="1">
      <c r="K126" s="139" t="s">
        <v>0</v>
      </c>
      <c r="L126" s="140" t="s">
        <v>2</v>
      </c>
      <c r="M126" s="208" t="s">
        <v>77</v>
      </c>
      <c r="N126" s="209"/>
      <c r="O126" s="209"/>
      <c r="P126" s="209"/>
      <c r="Q126" s="210"/>
      <c r="R126" s="141" t="s">
        <v>12</v>
      </c>
    </row>
    <row r="127" spans="11:21" ht="43.5" customHeight="1" thickBot="1">
      <c r="K127" s="142" t="s">
        <v>1</v>
      </c>
      <c r="L127" s="143" t="s">
        <v>3</v>
      </c>
      <c r="M127" s="143" t="s">
        <v>27</v>
      </c>
      <c r="N127" s="143" t="s">
        <v>24</v>
      </c>
      <c r="O127" s="143" t="s">
        <v>9</v>
      </c>
      <c r="P127" s="143" t="s">
        <v>26</v>
      </c>
      <c r="Q127" s="143" t="s">
        <v>25</v>
      </c>
      <c r="R127" s="144" t="s">
        <v>5</v>
      </c>
      <c r="U127" s="14"/>
    </row>
    <row r="128" spans="11:21" ht="18" customHeight="1" thickTop="1">
      <c r="K128" s="145">
        <v>18</v>
      </c>
      <c r="L128" s="146">
        <v>10000</v>
      </c>
      <c r="M128" s="147">
        <f aca="true" t="shared" si="14" ref="M128:N141">$O6*10^(M6/$R6)</f>
        <v>1.7643011485997218</v>
      </c>
      <c r="N128" s="147">
        <f t="shared" si="14"/>
        <v>1.6946066708494807</v>
      </c>
      <c r="O128" s="147">
        <v>1.5924</v>
      </c>
      <c r="P128" s="147">
        <f aca="true" t="shared" si="15" ref="P128:Q141">$O6*10^(P6/$R6)</f>
        <v>1.4857756425833426</v>
      </c>
      <c r="Q128" s="147">
        <f t="shared" si="15"/>
        <v>1.3534060707842732</v>
      </c>
      <c r="R128" s="148">
        <v>26.28</v>
      </c>
      <c r="U128" s="5"/>
    </row>
    <row r="129" spans="11:21" ht="18" customHeight="1">
      <c r="K129" s="149">
        <v>15</v>
      </c>
      <c r="L129" s="150">
        <v>10000</v>
      </c>
      <c r="M129" s="151">
        <f t="shared" si="14"/>
        <v>1.3565018917303953</v>
      </c>
      <c r="N129" s="151">
        <f t="shared" si="14"/>
        <v>1.301964176509299</v>
      </c>
      <c r="O129" s="151">
        <v>1.2243</v>
      </c>
      <c r="P129" s="151">
        <f t="shared" si="15"/>
        <v>1.1304380859621332</v>
      </c>
      <c r="Q129" s="151">
        <f t="shared" si="15"/>
        <v>1.075335399964566</v>
      </c>
      <c r="R129" s="152">
        <v>23.96</v>
      </c>
      <c r="U129" s="5"/>
    </row>
    <row r="130" spans="11:21" ht="18" customHeight="1">
      <c r="K130" s="149">
        <v>13</v>
      </c>
      <c r="L130" s="150">
        <v>10000</v>
      </c>
      <c r="M130" s="151">
        <f t="shared" si="14"/>
        <v>1.1139084225616667</v>
      </c>
      <c r="N130" s="151">
        <f t="shared" si="14"/>
        <v>1.0740205173460613</v>
      </c>
      <c r="O130" s="151">
        <v>1.01029</v>
      </c>
      <c r="P130" s="151">
        <f t="shared" si="15"/>
        <v>0.9406239043026731</v>
      </c>
      <c r="Q130" s="151">
        <f t="shared" si="15"/>
        <v>0.8890159926085893</v>
      </c>
      <c r="R130" s="152">
        <v>23.3</v>
      </c>
      <c r="U130" s="5"/>
    </row>
    <row r="131" spans="11:21" ht="18" customHeight="1">
      <c r="K131" s="149">
        <v>12</v>
      </c>
      <c r="L131" s="150">
        <v>10000</v>
      </c>
      <c r="M131" s="151">
        <f t="shared" si="14"/>
        <v>1.006020532782128</v>
      </c>
      <c r="N131" s="151">
        <f t="shared" si="14"/>
        <v>0.9732406955379188</v>
      </c>
      <c r="O131" s="151">
        <v>0.915211</v>
      </c>
      <c r="P131" s="151">
        <f t="shared" si="15"/>
        <v>0.8556708879391957</v>
      </c>
      <c r="Q131" s="151">
        <f t="shared" si="15"/>
        <v>0.8080927560395007</v>
      </c>
      <c r="R131" s="152">
        <v>22.66</v>
      </c>
      <c r="U131" s="5"/>
    </row>
    <row r="132" spans="11:21" ht="18" customHeight="1">
      <c r="K132" s="149">
        <v>9</v>
      </c>
      <c r="L132" s="150">
        <v>10000</v>
      </c>
      <c r="M132" s="151">
        <f t="shared" si="14"/>
        <v>0.7299228247640639</v>
      </c>
      <c r="N132" s="151">
        <f t="shared" si="14"/>
        <v>0.7089167536367348</v>
      </c>
      <c r="O132" s="151">
        <v>0.674748</v>
      </c>
      <c r="P132" s="151">
        <f t="shared" si="15"/>
        <v>0.6260518130880174</v>
      </c>
      <c r="Q132" s="151">
        <f t="shared" si="15"/>
        <v>0.5927217706243333</v>
      </c>
      <c r="R132" s="152">
        <v>19.95</v>
      </c>
      <c r="U132" s="5"/>
    </row>
    <row r="133" spans="11:21" ht="18" customHeight="1">
      <c r="K133" s="149">
        <v>7</v>
      </c>
      <c r="L133" s="150">
        <v>10000</v>
      </c>
      <c r="M133" s="151">
        <f t="shared" si="14"/>
        <v>0.580086681009769</v>
      </c>
      <c r="N133" s="151">
        <f t="shared" si="14"/>
        <v>0.5623246827505647</v>
      </c>
      <c r="O133" s="151">
        <v>0.535691</v>
      </c>
      <c r="P133" s="151">
        <f t="shared" si="15"/>
        <v>0.5025005855821487</v>
      </c>
      <c r="Q133" s="151">
        <f t="shared" si="15"/>
        <v>0.4729285973678448</v>
      </c>
      <c r="R133" s="152">
        <v>20.88</v>
      </c>
      <c r="U133" s="5"/>
    </row>
    <row r="134" spans="11:21" ht="18" customHeight="1">
      <c r="K134" s="149">
        <v>6</v>
      </c>
      <c r="L134" s="150">
        <v>10000</v>
      </c>
      <c r="M134" s="151">
        <f t="shared" si="14"/>
        <v>0.5141858715306928</v>
      </c>
      <c r="N134" s="151">
        <f t="shared" si="14"/>
        <v>0.49833156653378163</v>
      </c>
      <c r="O134" s="151">
        <v>0.47977</v>
      </c>
      <c r="P134" s="151">
        <f t="shared" si="15"/>
        <v>0.446034277155469</v>
      </c>
      <c r="Q134" s="151">
        <f t="shared" si="15"/>
        <v>0.42116264588657404</v>
      </c>
      <c r="R134" s="152">
        <v>18.38</v>
      </c>
      <c r="U134" s="5"/>
    </row>
    <row r="135" spans="11:21" ht="18" customHeight="1">
      <c r="K135" s="149">
        <v>3</v>
      </c>
      <c r="L135" s="150">
        <v>10000</v>
      </c>
      <c r="M135" s="151">
        <f t="shared" si="14"/>
        <v>0.35274217591840185</v>
      </c>
      <c r="N135" s="151">
        <f t="shared" si="14"/>
        <v>0.34511286836795013</v>
      </c>
      <c r="O135" s="151">
        <v>0.329466</v>
      </c>
      <c r="P135" s="151">
        <f t="shared" si="15"/>
        <v>0.3091650927760303</v>
      </c>
      <c r="Q135" s="151">
        <f t="shared" si="15"/>
        <v>0.2881874791537481</v>
      </c>
      <c r="R135" s="152">
        <v>17.27</v>
      </c>
      <c r="U135" s="5"/>
    </row>
    <row r="136" spans="11:21" ht="18" customHeight="1">
      <c r="K136" s="149">
        <v>0</v>
      </c>
      <c r="L136" s="150">
        <v>10000</v>
      </c>
      <c r="M136" s="151">
        <f t="shared" si="14"/>
        <v>0.23909713636647034</v>
      </c>
      <c r="N136" s="151">
        <f t="shared" si="14"/>
        <v>0.2317846325365386</v>
      </c>
      <c r="O136" s="151">
        <v>0.220845</v>
      </c>
      <c r="P136" s="151">
        <f t="shared" si="15"/>
        <v>0.2067596890075062</v>
      </c>
      <c r="Q136" s="151">
        <f t="shared" si="15"/>
        <v>0.19292028450790227</v>
      </c>
      <c r="R136" s="152">
        <v>17.05</v>
      </c>
      <c r="U136" s="5"/>
    </row>
    <row r="137" spans="11:21" ht="18" customHeight="1">
      <c r="K137" s="153">
        <v>-3</v>
      </c>
      <c r="L137" s="150">
        <v>10000</v>
      </c>
      <c r="M137" s="151">
        <f t="shared" si="14"/>
        <v>0.1618385981026</v>
      </c>
      <c r="N137" s="151">
        <f t="shared" si="14"/>
        <v>0.15512511189839728</v>
      </c>
      <c r="O137" s="151">
        <v>0.147293</v>
      </c>
      <c r="P137" s="151">
        <f t="shared" si="15"/>
        <v>0.13692479764661505</v>
      </c>
      <c r="Q137" s="151">
        <f t="shared" si="15"/>
        <v>0.12655581582191586</v>
      </c>
      <c r="R137" s="152">
        <v>15.5</v>
      </c>
      <c r="U137" s="5"/>
    </row>
    <row r="138" spans="11:21" ht="18" customHeight="1">
      <c r="K138" s="149">
        <v>-8</v>
      </c>
      <c r="L138" s="150">
        <v>10000</v>
      </c>
      <c r="M138" s="151">
        <f t="shared" si="14"/>
        <v>0.08022216565635508</v>
      </c>
      <c r="N138" s="151">
        <f t="shared" si="14"/>
        <v>0.07542608893469918</v>
      </c>
      <c r="O138" s="151">
        <v>0.071035</v>
      </c>
      <c r="P138" s="151">
        <f t="shared" si="15"/>
        <v>0.06473937128066863</v>
      </c>
      <c r="Q138" s="151">
        <f t="shared" si="15"/>
        <v>0.05767980183054914</v>
      </c>
      <c r="R138" s="152">
        <v>13.82</v>
      </c>
      <c r="U138" s="5"/>
    </row>
    <row r="139" spans="11:21" ht="18" customHeight="1">
      <c r="K139" s="149">
        <v>-12</v>
      </c>
      <c r="L139" s="150">
        <v>10000</v>
      </c>
      <c r="M139" s="151">
        <f t="shared" si="14"/>
        <v>0.04160927216598706</v>
      </c>
      <c r="N139" s="151">
        <f t="shared" si="14"/>
        <v>0.039709623890319165</v>
      </c>
      <c r="O139" s="151">
        <v>0.036471</v>
      </c>
      <c r="P139" s="151">
        <f t="shared" si="15"/>
        <v>0.031836378476010334</v>
      </c>
      <c r="Q139" s="151">
        <f t="shared" si="15"/>
        <v>0.02885649412795536</v>
      </c>
      <c r="R139" s="152">
        <v>12.91</v>
      </c>
      <c r="U139" s="5"/>
    </row>
    <row r="140" spans="11:21" ht="18" customHeight="1">
      <c r="K140" s="149">
        <v>-17</v>
      </c>
      <c r="L140" s="150">
        <v>10000</v>
      </c>
      <c r="M140" s="151">
        <f t="shared" si="14"/>
        <v>0.01771577190190097</v>
      </c>
      <c r="N140" s="151">
        <f t="shared" si="14"/>
        <v>0.016605379526739492</v>
      </c>
      <c r="O140" s="151">
        <v>0.01495</v>
      </c>
      <c r="P140" s="151">
        <f t="shared" si="15"/>
        <v>0.012889008899377491</v>
      </c>
      <c r="Q140" s="151">
        <f t="shared" si="15"/>
        <v>0.01164133621908483</v>
      </c>
      <c r="R140" s="152">
        <v>13.66</v>
      </c>
      <c r="U140" s="5"/>
    </row>
    <row r="141" spans="11:18" ht="18" customHeight="1">
      <c r="K141" s="149">
        <v>-20</v>
      </c>
      <c r="L141" s="150">
        <v>10000</v>
      </c>
      <c r="M141" s="151">
        <f t="shared" si="14"/>
        <v>0.011108590629226922</v>
      </c>
      <c r="N141" s="151">
        <f t="shared" si="14"/>
        <v>0.01010296442089928</v>
      </c>
      <c r="O141" s="151">
        <v>0.009017</v>
      </c>
      <c r="P141" s="151">
        <f t="shared" si="15"/>
        <v>0.007670522493857978</v>
      </c>
      <c r="Q141" s="151">
        <f t="shared" si="15"/>
        <v>0.007648890709905338</v>
      </c>
      <c r="R141" s="152">
        <v>12.23</v>
      </c>
    </row>
    <row r="142" spans="11:21" ht="24.75" customHeight="1">
      <c r="K142" s="154"/>
      <c r="L142" s="150"/>
      <c r="M142" s="150"/>
      <c r="N142" s="150"/>
      <c r="O142" s="155"/>
      <c r="P142" s="150"/>
      <c r="Q142" s="150"/>
      <c r="R142" s="156"/>
      <c r="U142" s="1"/>
    </row>
    <row r="143" spans="11:21" ht="18" customHeight="1">
      <c r="K143" s="149">
        <v>18</v>
      </c>
      <c r="L143" s="150">
        <v>200</v>
      </c>
      <c r="M143" s="151">
        <f aca="true" t="shared" si="16" ref="M143:N156">$O21*10^(M21/$R21)</f>
        <v>1.7593267412074387</v>
      </c>
      <c r="N143" s="151">
        <f t="shared" si="16"/>
        <v>1.689698944188448</v>
      </c>
      <c r="O143" s="151">
        <v>1.5876</v>
      </c>
      <c r="P143" s="151">
        <f aca="true" t="shared" si="17" ref="P143:Q156">$O21*10^(P21/$R21)</f>
        <v>1.4812313831188544</v>
      </c>
      <c r="Q143" s="151">
        <f t="shared" si="17"/>
        <v>1.3495004645271946</v>
      </c>
      <c r="R143" s="152">
        <v>26.23</v>
      </c>
      <c r="U143" s="5"/>
    </row>
    <row r="144" spans="11:21" ht="18" customHeight="1">
      <c r="K144" s="149">
        <v>15</v>
      </c>
      <c r="L144" s="150">
        <v>200</v>
      </c>
      <c r="M144" s="151">
        <f t="shared" si="16"/>
        <v>1.3504737484801663</v>
      </c>
      <c r="N144" s="151">
        <f t="shared" si="16"/>
        <v>1.2965878151196728</v>
      </c>
      <c r="O144" s="151">
        <v>1.22</v>
      </c>
      <c r="P144" s="151">
        <f t="shared" si="17"/>
        <v>1.1263285529856066</v>
      </c>
      <c r="Q144" s="151">
        <f t="shared" si="17"/>
        <v>1.0721995488436713</v>
      </c>
      <c r="R144" s="152">
        <v>23.75</v>
      </c>
      <c r="U144" s="5"/>
    </row>
    <row r="145" spans="11:21" ht="18" customHeight="1">
      <c r="K145" s="149">
        <v>13</v>
      </c>
      <c r="L145" s="150">
        <v>200</v>
      </c>
      <c r="M145" s="151">
        <f t="shared" si="16"/>
        <v>1.1080531270976224</v>
      </c>
      <c r="N145" s="151">
        <f t="shared" si="16"/>
        <v>1.0691417161804608</v>
      </c>
      <c r="O145" s="151">
        <v>1.00497</v>
      </c>
      <c r="P145" s="151">
        <f t="shared" si="17"/>
        <v>0.9362680996338479</v>
      </c>
      <c r="Q145" s="151">
        <f t="shared" si="17"/>
        <v>0.8857789690554551</v>
      </c>
      <c r="R145" s="152">
        <v>23.51</v>
      </c>
      <c r="U145" s="5"/>
    </row>
    <row r="146" spans="11:21" ht="18" customHeight="1">
      <c r="K146" s="149">
        <v>12</v>
      </c>
      <c r="L146" s="150">
        <v>200</v>
      </c>
      <c r="M146" s="151">
        <f t="shared" si="16"/>
        <v>1.0002396861745408</v>
      </c>
      <c r="N146" s="151">
        <f t="shared" si="16"/>
        <v>0.9683798107262769</v>
      </c>
      <c r="O146" s="151">
        <v>0.91119</v>
      </c>
      <c r="P146" s="151">
        <f t="shared" si="17"/>
        <v>0.8527644829882768</v>
      </c>
      <c r="Q146" s="151">
        <f t="shared" si="17"/>
        <v>0.8040378538968711</v>
      </c>
      <c r="R146" s="152">
        <v>22.62</v>
      </c>
      <c r="U146" s="5"/>
    </row>
    <row r="147" spans="11:21" ht="18" customHeight="1">
      <c r="K147" s="149">
        <v>9</v>
      </c>
      <c r="L147" s="150">
        <v>200</v>
      </c>
      <c r="M147" s="151">
        <f t="shared" si="16"/>
        <v>0.7234578780623888</v>
      </c>
      <c r="N147" s="151">
        <f t="shared" si="16"/>
        <v>0.7040749538761993</v>
      </c>
      <c r="O147" s="151">
        <v>0.671435</v>
      </c>
      <c r="P147" s="151">
        <f t="shared" si="17"/>
        <v>0.6238042522756895</v>
      </c>
      <c r="Q147" s="151">
        <f t="shared" si="17"/>
        <v>0.5902777258250738</v>
      </c>
      <c r="R147" s="152">
        <v>19.84</v>
      </c>
      <c r="U147" s="5"/>
    </row>
    <row r="148" spans="11:21" ht="18" customHeight="1">
      <c r="K148" s="149">
        <v>7</v>
      </c>
      <c r="L148" s="150">
        <v>200</v>
      </c>
      <c r="M148" s="151">
        <f t="shared" si="16"/>
        <v>0.572943852293322</v>
      </c>
      <c r="N148" s="151">
        <f t="shared" si="16"/>
        <v>0.5574826450117333</v>
      </c>
      <c r="O148" s="151">
        <v>0.53238</v>
      </c>
      <c r="P148" s="151">
        <f t="shared" si="17"/>
        <v>0.5001419750285028</v>
      </c>
      <c r="Q148" s="151">
        <f t="shared" si="17"/>
        <v>0.47095019239732233</v>
      </c>
      <c r="R148" s="152">
        <v>20.79</v>
      </c>
      <c r="U148" s="5"/>
    </row>
    <row r="149" spans="11:21" ht="18" customHeight="1">
      <c r="K149" s="149">
        <v>6</v>
      </c>
      <c r="L149" s="150">
        <v>200</v>
      </c>
      <c r="M149" s="151">
        <f t="shared" si="16"/>
        <v>0.5068782153280033</v>
      </c>
      <c r="N149" s="151">
        <f t="shared" si="16"/>
        <v>0.4937153354286194</v>
      </c>
      <c r="O149" s="151">
        <v>0.476555</v>
      </c>
      <c r="P149" s="151">
        <f t="shared" si="17"/>
        <v>0.44355600139553125</v>
      </c>
      <c r="Q149" s="151">
        <f t="shared" si="17"/>
        <v>0.4196542232292306</v>
      </c>
      <c r="R149" s="152">
        <v>18.29</v>
      </c>
      <c r="U149" s="5"/>
    </row>
    <row r="150" spans="11:21" ht="18" customHeight="1">
      <c r="K150" s="149">
        <v>3</v>
      </c>
      <c r="L150" s="150">
        <v>200</v>
      </c>
      <c r="M150" s="151">
        <f t="shared" si="16"/>
        <v>0.3450380974431968</v>
      </c>
      <c r="N150" s="151">
        <f t="shared" si="16"/>
        <v>0.34049539010704816</v>
      </c>
      <c r="O150" s="151">
        <v>0.326654</v>
      </c>
      <c r="P150" s="151">
        <f t="shared" si="17"/>
        <v>0.30755669827468146</v>
      </c>
      <c r="Q150" s="151">
        <f t="shared" si="17"/>
        <v>0.2867981547374947</v>
      </c>
      <c r="R150" s="152">
        <v>17.2</v>
      </c>
      <c r="U150" s="5"/>
    </row>
    <row r="151" spans="11:21" ht="18" customHeight="1">
      <c r="K151" s="149">
        <v>0</v>
      </c>
      <c r="L151" s="150">
        <v>200</v>
      </c>
      <c r="M151" s="151">
        <f t="shared" si="16"/>
        <v>0.2309700673767817</v>
      </c>
      <c r="N151" s="151">
        <f t="shared" si="16"/>
        <v>0.22754633871684532</v>
      </c>
      <c r="O151" s="151">
        <v>0.218613</v>
      </c>
      <c r="P151" s="151">
        <f t="shared" si="17"/>
        <v>0.205377726770669</v>
      </c>
      <c r="Q151" s="151">
        <f t="shared" si="17"/>
        <v>0.19189877856943524</v>
      </c>
      <c r="R151" s="152">
        <v>16.96</v>
      </c>
      <c r="U151" s="5"/>
    </row>
    <row r="152" spans="11:21" ht="18" customHeight="1">
      <c r="K152" s="149">
        <v>-3</v>
      </c>
      <c r="L152" s="150">
        <v>200</v>
      </c>
      <c r="M152" s="151">
        <f t="shared" si="16"/>
        <v>0.15425495163691744</v>
      </c>
      <c r="N152" s="151">
        <f t="shared" si="16"/>
        <v>0.1515441282975206</v>
      </c>
      <c r="O152" s="151">
        <v>0.145492</v>
      </c>
      <c r="P152" s="151">
        <f t="shared" si="17"/>
        <v>0.13590615129561182</v>
      </c>
      <c r="Q152" s="151">
        <f t="shared" si="17"/>
        <v>0.12581693868216864</v>
      </c>
      <c r="R152" s="152">
        <v>15.4</v>
      </c>
      <c r="U152" s="5"/>
    </row>
    <row r="153" spans="11:21" ht="18" customHeight="1">
      <c r="K153" s="149">
        <v>-8</v>
      </c>
      <c r="L153" s="150">
        <v>200</v>
      </c>
      <c r="M153" s="151">
        <f t="shared" si="16"/>
        <v>0.07489118836248826</v>
      </c>
      <c r="N153" s="151">
        <f t="shared" si="16"/>
        <v>0.0729642238804797</v>
      </c>
      <c r="O153" s="151">
        <v>0.069979</v>
      </c>
      <c r="P153" s="151">
        <f t="shared" si="17"/>
        <v>0.06415520293440113</v>
      </c>
      <c r="Q153" s="151">
        <f t="shared" si="17"/>
        <v>0.057321878884691355</v>
      </c>
      <c r="R153" s="152">
        <v>13.78</v>
      </c>
      <c r="U153" s="5"/>
    </row>
    <row r="154" spans="11:21" ht="18" customHeight="1">
      <c r="K154" s="149">
        <v>-12</v>
      </c>
      <c r="L154" s="150">
        <v>200</v>
      </c>
      <c r="M154" s="151">
        <f t="shared" si="16"/>
        <v>0.03830801557121595</v>
      </c>
      <c r="N154" s="151">
        <f t="shared" si="16"/>
        <v>0.03821248001534532</v>
      </c>
      <c r="O154" s="151">
        <v>0.035868</v>
      </c>
      <c r="P154" s="151">
        <f t="shared" si="17"/>
        <v>0.03155668388646037</v>
      </c>
      <c r="Q154" s="151">
        <f t="shared" si="17"/>
        <v>0.028679604397522283</v>
      </c>
      <c r="R154" s="152">
        <v>12.91</v>
      </c>
      <c r="U154" s="5"/>
    </row>
    <row r="155" spans="11:21" ht="18" customHeight="1">
      <c r="K155" s="149">
        <v>-17</v>
      </c>
      <c r="L155" s="150">
        <v>200</v>
      </c>
      <c r="M155" s="151">
        <f t="shared" si="16"/>
        <v>0.016016164333974146</v>
      </c>
      <c r="N155" s="151">
        <f t="shared" si="16"/>
        <v>0.015945970612555625</v>
      </c>
      <c r="O155" s="151">
        <v>0.014699</v>
      </c>
      <c r="P155" s="151">
        <f t="shared" si="17"/>
        <v>0.012767305053265454</v>
      </c>
      <c r="Q155" s="151">
        <f t="shared" si="17"/>
        <v>0.011560033780697773</v>
      </c>
      <c r="R155" s="152">
        <v>13.63</v>
      </c>
      <c r="U155" s="5"/>
    </row>
    <row r="156" spans="11:21" ht="18" customHeight="1">
      <c r="K156" s="149">
        <v>-20</v>
      </c>
      <c r="L156" s="150">
        <v>200</v>
      </c>
      <c r="M156" s="151">
        <f t="shared" si="16"/>
        <v>0.010033410118837042</v>
      </c>
      <c r="N156" s="151">
        <f t="shared" si="16"/>
        <v>0.009691781024478997</v>
      </c>
      <c r="O156" s="151">
        <v>0.008856</v>
      </c>
      <c r="P156" s="151">
        <f t="shared" si="17"/>
        <v>0.0076091140203685455</v>
      </c>
      <c r="Q156" s="151">
        <f t="shared" si="17"/>
        <v>0.00759909246307911</v>
      </c>
      <c r="R156" s="152">
        <v>12.23</v>
      </c>
      <c r="U156" s="5"/>
    </row>
    <row r="157" spans="11:21" ht="27" customHeight="1">
      <c r="K157" s="154"/>
      <c r="L157" s="150"/>
      <c r="M157" s="150"/>
      <c r="N157" s="150"/>
      <c r="O157" s="155"/>
      <c r="P157" s="150"/>
      <c r="Q157" s="150"/>
      <c r="R157" s="156"/>
      <c r="U157" s="1"/>
    </row>
    <row r="158" spans="11:21" ht="18" customHeight="1">
      <c r="K158" s="149">
        <v>18</v>
      </c>
      <c r="L158" s="150">
        <v>50</v>
      </c>
      <c r="M158" s="151">
        <f aca="true" t="shared" si="18" ref="M158:N171">$O36*10^(M36/$R36)</f>
        <v>1.7428248078089288</v>
      </c>
      <c r="N158" s="151">
        <f t="shared" si="18"/>
        <v>1.6738269149471399</v>
      </c>
      <c r="O158" s="151">
        <v>1.5734</v>
      </c>
      <c r="P158" s="151">
        <f aca="true" t="shared" si="19" ref="P158:Q171">$O36*10^(P36/$R36)</f>
        <v>1.4685770174144448</v>
      </c>
      <c r="Q158" s="151">
        <f t="shared" si="19"/>
        <v>1.3372288833359416</v>
      </c>
      <c r="R158" s="152">
        <v>26.05</v>
      </c>
      <c r="U158" s="5"/>
    </row>
    <row r="159" spans="11:21" ht="18" customHeight="1">
      <c r="K159" s="149">
        <v>15</v>
      </c>
      <c r="L159" s="150">
        <v>50</v>
      </c>
      <c r="M159" s="151">
        <f t="shared" si="18"/>
        <v>1.333417389628742</v>
      </c>
      <c r="N159" s="151">
        <f t="shared" si="18"/>
        <v>1.282023691564682</v>
      </c>
      <c r="O159" s="151">
        <v>1.20697</v>
      </c>
      <c r="P159" s="151">
        <f t="shared" si="19"/>
        <v>1.1141967013007459</v>
      </c>
      <c r="Q159" s="151">
        <f t="shared" si="19"/>
        <v>1.0622824339533412</v>
      </c>
      <c r="R159" s="152">
        <v>23.55</v>
      </c>
      <c r="U159" s="5"/>
    </row>
    <row r="160" spans="11:21" ht="18" customHeight="1">
      <c r="K160" s="149">
        <v>13</v>
      </c>
      <c r="L160" s="150">
        <v>50</v>
      </c>
      <c r="M160" s="151">
        <f t="shared" si="18"/>
        <v>1.0906302812010713</v>
      </c>
      <c r="N160" s="151">
        <f t="shared" si="18"/>
        <v>1.05422989525158</v>
      </c>
      <c r="O160" s="151">
        <v>0.9926</v>
      </c>
      <c r="P160" s="151">
        <f t="shared" si="19"/>
        <v>0.9269027638060076</v>
      </c>
      <c r="Q160" s="151">
        <f t="shared" si="19"/>
        <v>0.8771799874262549</v>
      </c>
      <c r="R160" s="152">
        <v>23.47</v>
      </c>
      <c r="U160" s="5"/>
    </row>
    <row r="161" spans="11:21" ht="18" customHeight="1">
      <c r="K161" s="149">
        <v>12</v>
      </c>
      <c r="L161" s="150">
        <v>50</v>
      </c>
      <c r="M161" s="151">
        <f t="shared" si="18"/>
        <v>0.9820578246030905</v>
      </c>
      <c r="N161" s="151">
        <f t="shared" si="18"/>
        <v>0.9542929229728505</v>
      </c>
      <c r="O161" s="151">
        <v>0.8998</v>
      </c>
      <c r="P161" s="151">
        <f t="shared" si="19"/>
        <v>0.8439825917614444</v>
      </c>
      <c r="Q161" s="151">
        <f t="shared" si="19"/>
        <v>0.796197828586851</v>
      </c>
      <c r="R161" s="152">
        <v>22.4</v>
      </c>
      <c r="U161" s="5"/>
    </row>
    <row r="162" spans="11:21" ht="18" customHeight="1">
      <c r="K162" s="149">
        <v>9</v>
      </c>
      <c r="L162" s="150">
        <v>50</v>
      </c>
      <c r="M162" s="151">
        <f t="shared" si="18"/>
        <v>0.7058588158168383</v>
      </c>
      <c r="N162" s="151">
        <f t="shared" si="18"/>
        <v>0.6909061566853609</v>
      </c>
      <c r="O162" s="151">
        <v>0.661093</v>
      </c>
      <c r="P162" s="151">
        <f t="shared" si="19"/>
        <v>0.6159869361375451</v>
      </c>
      <c r="Q162" s="151">
        <f t="shared" si="19"/>
        <v>0.5835739428520885</v>
      </c>
      <c r="R162" s="152">
        <v>19.68</v>
      </c>
      <c r="U162" s="5"/>
    </row>
    <row r="163" spans="11:21" ht="18" customHeight="1">
      <c r="K163" s="149">
        <v>7</v>
      </c>
      <c r="L163" s="150">
        <v>50</v>
      </c>
      <c r="M163" s="151">
        <f t="shared" si="18"/>
        <v>0.5551960761578233</v>
      </c>
      <c r="N163" s="151">
        <f t="shared" si="18"/>
        <v>0.5443389234324207</v>
      </c>
      <c r="O163" s="151">
        <v>0.52314</v>
      </c>
      <c r="P163" s="151">
        <f t="shared" si="19"/>
        <v>0.49293478710069893</v>
      </c>
      <c r="Q163" s="151">
        <f t="shared" si="19"/>
        <v>0.4649950582157933</v>
      </c>
      <c r="R163" s="152">
        <v>20.52</v>
      </c>
      <c r="U163" s="5"/>
    </row>
    <row r="164" spans="11:21" ht="18" customHeight="1">
      <c r="K164" s="149">
        <v>6</v>
      </c>
      <c r="L164" s="150">
        <v>50</v>
      </c>
      <c r="M164" s="151">
        <f t="shared" si="18"/>
        <v>0.4890831895164994</v>
      </c>
      <c r="N164" s="151">
        <f t="shared" si="18"/>
        <v>0.4806758264912215</v>
      </c>
      <c r="O164" s="151">
        <v>0.467619</v>
      </c>
      <c r="P164" s="151">
        <f t="shared" si="19"/>
        <v>0.4370644935031633</v>
      </c>
      <c r="Q164" s="151">
        <f t="shared" si="19"/>
        <v>0.41401193173608103</v>
      </c>
      <c r="R164" s="152">
        <v>18.06</v>
      </c>
      <c r="U164" s="5"/>
    </row>
    <row r="165" spans="11:21" ht="18" customHeight="1">
      <c r="K165" s="149">
        <v>3</v>
      </c>
      <c r="L165" s="150">
        <v>50</v>
      </c>
      <c r="M165" s="151">
        <f t="shared" si="18"/>
        <v>0.3279725453084115</v>
      </c>
      <c r="N165" s="151">
        <f t="shared" si="18"/>
        <v>0.3285512296151226</v>
      </c>
      <c r="O165" s="151">
        <v>0.319024</v>
      </c>
      <c r="P165" s="151">
        <f t="shared" si="19"/>
        <v>0.3021803570322119</v>
      </c>
      <c r="Q165" s="151">
        <f t="shared" si="19"/>
        <v>0.2827539955620739</v>
      </c>
      <c r="R165" s="152">
        <v>16.98</v>
      </c>
      <c r="U165" s="5"/>
    </row>
    <row r="166" spans="11:21" ht="18" customHeight="1">
      <c r="K166" s="149">
        <v>0</v>
      </c>
      <c r="L166" s="150">
        <v>50</v>
      </c>
      <c r="M166" s="151">
        <f t="shared" si="18"/>
        <v>0.21499516354012507</v>
      </c>
      <c r="N166" s="151">
        <f t="shared" si="18"/>
        <v>0.2172232475428843</v>
      </c>
      <c r="O166" s="151">
        <v>0.21241</v>
      </c>
      <c r="P166" s="151">
        <f t="shared" si="19"/>
        <v>0.20132206521149404</v>
      </c>
      <c r="Q166" s="151">
        <f t="shared" si="19"/>
        <v>0.18898558976150834</v>
      </c>
      <c r="R166" s="152">
        <v>16.75</v>
      </c>
      <c r="U166" s="5"/>
    </row>
    <row r="167" spans="11:21" ht="18" customHeight="1">
      <c r="K167" s="149">
        <v>-3</v>
      </c>
      <c r="L167" s="150">
        <v>50</v>
      </c>
      <c r="M167" s="151">
        <f t="shared" si="18"/>
        <v>0.13989217339538726</v>
      </c>
      <c r="N167" s="151">
        <f t="shared" si="18"/>
        <v>0.14285433292007207</v>
      </c>
      <c r="O167" s="151">
        <v>0.140635</v>
      </c>
      <c r="P167" s="151">
        <f t="shared" si="19"/>
        <v>0.13295155387329843</v>
      </c>
      <c r="Q167" s="151">
        <f t="shared" si="19"/>
        <v>0.12367827449216676</v>
      </c>
      <c r="R167" s="152">
        <v>15.25</v>
      </c>
      <c r="U167" s="5"/>
    </row>
    <row r="168" spans="11:21" ht="18" customHeight="1">
      <c r="K168" s="149">
        <v>-8</v>
      </c>
      <c r="L168" s="150">
        <v>50</v>
      </c>
      <c r="M168" s="151">
        <f t="shared" si="18"/>
        <v>0.0646866467007317</v>
      </c>
      <c r="N168" s="151">
        <f t="shared" si="18"/>
        <v>0.06704784346566399</v>
      </c>
      <c r="O168" s="151">
        <v>0.067093</v>
      </c>
      <c r="P168" s="151">
        <f t="shared" si="19"/>
        <v>0.062629587393306</v>
      </c>
      <c r="Q168" s="151">
        <f t="shared" si="19"/>
        <v>0.05627147802731979</v>
      </c>
      <c r="R168" s="152">
        <v>13.68</v>
      </c>
      <c r="U168" s="5"/>
    </row>
    <row r="169" spans="11:21" ht="18" customHeight="1">
      <c r="K169" s="149">
        <v>-12</v>
      </c>
      <c r="L169" s="150">
        <v>50</v>
      </c>
      <c r="M169" s="151">
        <f t="shared" si="18"/>
        <v>0.03177712074216819</v>
      </c>
      <c r="N169" s="151">
        <f t="shared" si="18"/>
        <v>0.03450739772864075</v>
      </c>
      <c r="O169" s="151">
        <v>0.034218</v>
      </c>
      <c r="P169" s="151">
        <f t="shared" si="19"/>
        <v>0.03071895041629199</v>
      </c>
      <c r="Q169" s="151">
        <f t="shared" si="19"/>
        <v>0.02813675942062971</v>
      </c>
      <c r="R169" s="152">
        <v>12.85</v>
      </c>
      <c r="U169" s="5"/>
    </row>
    <row r="170" spans="11:21" ht="18" customHeight="1">
      <c r="K170" s="149">
        <v>-17</v>
      </c>
      <c r="L170" s="150">
        <v>50</v>
      </c>
      <c r="M170" s="151">
        <f t="shared" si="18"/>
        <v>0.012635933675785232</v>
      </c>
      <c r="N170" s="151">
        <f t="shared" si="18"/>
        <v>0.014226935838445044</v>
      </c>
      <c r="O170" s="151">
        <v>0.013965</v>
      </c>
      <c r="P170" s="151">
        <f t="shared" si="19"/>
        <v>0.01241586867290058</v>
      </c>
      <c r="Q170" s="151">
        <f t="shared" si="19"/>
        <v>0.01133910362822821</v>
      </c>
      <c r="R170" s="152">
        <v>13.63</v>
      </c>
      <c r="U170" s="5"/>
    </row>
    <row r="171" spans="11:21" ht="18" customHeight="1" thickBot="1">
      <c r="K171" s="149">
        <v>-20</v>
      </c>
      <c r="L171" s="150">
        <v>50</v>
      </c>
      <c r="M171" s="151">
        <f t="shared" si="18"/>
        <v>0.007851511056478645</v>
      </c>
      <c r="N171" s="151">
        <f t="shared" si="18"/>
        <v>0.008644563443194036</v>
      </c>
      <c r="O171" s="151">
        <v>0.008414</v>
      </c>
      <c r="P171" s="151">
        <f t="shared" si="19"/>
        <v>0.007397605672379314</v>
      </c>
      <c r="Q171" s="151">
        <f t="shared" si="19"/>
        <v>0.0074579858544433705</v>
      </c>
      <c r="R171" s="152">
        <v>12.18</v>
      </c>
      <c r="U171" s="5"/>
    </row>
    <row r="172" spans="11:23" ht="40.5" customHeight="1">
      <c r="K172" s="154"/>
      <c r="L172" s="150"/>
      <c r="M172" s="157" t="s">
        <v>30</v>
      </c>
      <c r="N172" s="157" t="s">
        <v>33</v>
      </c>
      <c r="O172" s="158" t="s">
        <v>6</v>
      </c>
      <c r="P172" s="157" t="s">
        <v>31</v>
      </c>
      <c r="Q172" s="157" t="s">
        <v>32</v>
      </c>
      <c r="R172" s="159" t="s">
        <v>4</v>
      </c>
      <c r="S172" s="56" t="s">
        <v>59</v>
      </c>
      <c r="T172" s="41" t="s">
        <v>55</v>
      </c>
      <c r="U172" s="41" t="s">
        <v>56</v>
      </c>
      <c r="V172" s="41" t="s">
        <v>57</v>
      </c>
      <c r="W172" s="42" t="s">
        <v>58</v>
      </c>
    </row>
    <row r="173" spans="11:23" ht="18" customHeight="1">
      <c r="K173" s="149">
        <v>18</v>
      </c>
      <c r="L173" s="150">
        <v>20</v>
      </c>
      <c r="M173" s="151">
        <f aca="true" t="shared" si="20" ref="M173:N186">$O51*10^(M51/$R51)</f>
        <v>1.7098558145513751</v>
      </c>
      <c r="N173" s="151">
        <f t="shared" si="20"/>
        <v>1.6428843974229104</v>
      </c>
      <c r="O173" s="151">
        <v>1.546</v>
      </c>
      <c r="P173" s="151">
        <f aca="true" t="shared" si="21" ref="P173:Q186">$O51*10^(P51/$R51)</f>
        <v>1.4431723024255867</v>
      </c>
      <c r="Q173" s="151">
        <f t="shared" si="21"/>
        <v>1.315530113677576</v>
      </c>
      <c r="R173" s="152">
        <v>25.76</v>
      </c>
      <c r="S173" s="5">
        <f aca="true" t="shared" si="22" ref="S173:S186">$L173*((M128/M173)-1)</f>
        <v>0.6368412305295079</v>
      </c>
      <c r="T173" s="5">
        <f>$L173*((N128/N173)-1)</f>
        <v>0.6296520133455985</v>
      </c>
      <c r="U173" s="5">
        <f aca="true" t="shared" si="23" ref="U173:U186">$L173*((O128/O173)-1)</f>
        <v>0.6002587322121622</v>
      </c>
      <c r="V173" s="5">
        <f aca="true" t="shared" si="24" ref="V173:V186">$L173*((P128/P173)-1)</f>
        <v>0.5904123864648891</v>
      </c>
      <c r="W173" s="26">
        <f aca="true" t="shared" si="25" ref="W173:W186">$L173*((Q128/Q173)-1)</f>
        <v>0.5758280515649261</v>
      </c>
    </row>
    <row r="174" spans="11:23" ht="18" customHeight="1">
      <c r="K174" s="149">
        <v>15</v>
      </c>
      <c r="L174" s="150">
        <v>20</v>
      </c>
      <c r="M174" s="151">
        <f t="shared" si="20"/>
        <v>1.3010061244865494</v>
      </c>
      <c r="N174" s="151">
        <f t="shared" si="20"/>
        <v>1.2523113141626891</v>
      </c>
      <c r="O174" s="151">
        <v>1.1822</v>
      </c>
      <c r="P174" s="151">
        <f t="shared" si="21"/>
        <v>1.0927784360128445</v>
      </c>
      <c r="Q174" s="151">
        <f t="shared" si="21"/>
        <v>1.0424057858515887</v>
      </c>
      <c r="R174" s="152">
        <v>23.42</v>
      </c>
      <c r="S174" s="5">
        <f t="shared" si="22"/>
        <v>0.8531207686012632</v>
      </c>
      <c r="T174" s="5">
        <f aca="true" t="shared" si="26" ref="T174:T186">$L174*((N129/N174)-1)</f>
        <v>0.7929795376768345</v>
      </c>
      <c r="U174" s="5">
        <f t="shared" si="23"/>
        <v>0.7122314329216728</v>
      </c>
      <c r="V174" s="5">
        <f t="shared" si="24"/>
        <v>0.6892458472496088</v>
      </c>
      <c r="W174" s="26">
        <f t="shared" si="25"/>
        <v>0.6318002942793655</v>
      </c>
    </row>
    <row r="175" spans="11:23" ht="18" customHeight="1">
      <c r="K175" s="149">
        <v>13</v>
      </c>
      <c r="L175" s="150">
        <v>20</v>
      </c>
      <c r="M175" s="151">
        <f t="shared" si="20"/>
        <v>1.0577771883636524</v>
      </c>
      <c r="N175" s="151">
        <f t="shared" si="20"/>
        <v>1.025482877355193</v>
      </c>
      <c r="O175" s="151">
        <v>0.9711</v>
      </c>
      <c r="P175" s="151">
        <f t="shared" si="21"/>
        <v>0.9076201534834417</v>
      </c>
      <c r="Q175" s="151">
        <f t="shared" si="21"/>
        <v>0.8591382821953913</v>
      </c>
      <c r="R175" s="152">
        <v>22.65</v>
      </c>
      <c r="S175" s="5">
        <f t="shared" si="22"/>
        <v>1.0613054396615862</v>
      </c>
      <c r="T175" s="5">
        <f t="shared" si="26"/>
        <v>0.9466299450274773</v>
      </c>
      <c r="U175" s="5">
        <f t="shared" si="23"/>
        <v>0.8071259396560571</v>
      </c>
      <c r="V175" s="5">
        <f t="shared" si="24"/>
        <v>0.7272591004631845</v>
      </c>
      <c r="W175" s="26">
        <f t="shared" si="25"/>
        <v>0.6955273913961824</v>
      </c>
    </row>
    <row r="176" spans="11:23" ht="18" customHeight="1">
      <c r="K176" s="149">
        <v>12</v>
      </c>
      <c r="L176" s="150">
        <v>20</v>
      </c>
      <c r="M176" s="151">
        <f t="shared" si="20"/>
        <v>0.951062825851962</v>
      </c>
      <c r="N176" s="151">
        <f t="shared" si="20"/>
        <v>0.9279832322235229</v>
      </c>
      <c r="O176" s="151">
        <v>0.877259</v>
      </c>
      <c r="P176" s="151">
        <f t="shared" si="21"/>
        <v>0.8258614942141785</v>
      </c>
      <c r="Q176" s="151">
        <f t="shared" si="21"/>
        <v>0.7811257610835146</v>
      </c>
      <c r="R176" s="152">
        <v>22.12</v>
      </c>
      <c r="S176" s="5">
        <f t="shared" si="22"/>
        <v>1.1557113880659786</v>
      </c>
      <c r="T176" s="5">
        <f t="shared" si="26"/>
        <v>0.9753939886598051</v>
      </c>
      <c r="U176" s="5">
        <f t="shared" si="23"/>
        <v>0.865240482001326</v>
      </c>
      <c r="V176" s="5">
        <f t="shared" si="24"/>
        <v>0.7218981374929268</v>
      </c>
      <c r="W176" s="26">
        <f t="shared" si="25"/>
        <v>0.6904648726110274</v>
      </c>
    </row>
    <row r="177" spans="11:23" ht="18" customHeight="1">
      <c r="K177" s="149">
        <v>9</v>
      </c>
      <c r="L177" s="150">
        <v>20</v>
      </c>
      <c r="M177" s="151">
        <f t="shared" si="20"/>
        <v>0.6769271304273718</v>
      </c>
      <c r="N177" s="151">
        <f t="shared" si="20"/>
        <v>0.6669275099784987</v>
      </c>
      <c r="O177" s="151">
        <v>0.64192</v>
      </c>
      <c r="P177" s="151">
        <f t="shared" si="21"/>
        <v>0.6009462262347334</v>
      </c>
      <c r="Q177" s="151">
        <f t="shared" si="21"/>
        <v>0.5704793854667495</v>
      </c>
      <c r="R177" s="152">
        <v>19.34</v>
      </c>
      <c r="S177" s="5">
        <f t="shared" si="22"/>
        <v>1.56577250207814</v>
      </c>
      <c r="T177" s="5">
        <f t="shared" si="26"/>
        <v>1.2591846349115166</v>
      </c>
      <c r="U177" s="5">
        <f t="shared" si="23"/>
        <v>1.0228065802592212</v>
      </c>
      <c r="V177" s="5">
        <f t="shared" si="24"/>
        <v>0.8355352195348553</v>
      </c>
      <c r="W177" s="26">
        <f t="shared" si="25"/>
        <v>0.7797787518434429</v>
      </c>
    </row>
    <row r="178" spans="11:23" ht="18" customHeight="1">
      <c r="K178" s="149">
        <v>7</v>
      </c>
      <c r="L178" s="150">
        <v>20</v>
      </c>
      <c r="M178" s="151">
        <f t="shared" si="20"/>
        <v>0.5279739268624964</v>
      </c>
      <c r="N178" s="151">
        <f t="shared" si="20"/>
        <v>0.5220463439355553</v>
      </c>
      <c r="O178" s="151">
        <v>0.50587</v>
      </c>
      <c r="P178" s="151">
        <f t="shared" si="21"/>
        <v>0.4796872684273402</v>
      </c>
      <c r="Q178" s="151">
        <f t="shared" si="21"/>
        <v>0.4536681400899125</v>
      </c>
      <c r="R178" s="152">
        <v>20.19</v>
      </c>
      <c r="S178" s="5">
        <f t="shared" si="22"/>
        <v>1.9740654413355019</v>
      </c>
      <c r="T178" s="5">
        <f t="shared" si="26"/>
        <v>1.5430943740114245</v>
      </c>
      <c r="U178" s="5">
        <f t="shared" si="23"/>
        <v>1.1789985569415062</v>
      </c>
      <c r="V178" s="5">
        <f t="shared" si="24"/>
        <v>0.9511745946312988</v>
      </c>
      <c r="W178" s="26">
        <f t="shared" si="25"/>
        <v>0.8490989591693632</v>
      </c>
    </row>
    <row r="179" spans="11:23" ht="18" customHeight="1">
      <c r="K179" s="149">
        <v>6</v>
      </c>
      <c r="L179" s="150">
        <v>20</v>
      </c>
      <c r="M179" s="151">
        <f t="shared" si="20"/>
        <v>0.4632242136909047</v>
      </c>
      <c r="N179" s="151">
        <f t="shared" si="20"/>
        <v>0.45921332038555784</v>
      </c>
      <c r="O179" s="151">
        <v>0.451354</v>
      </c>
      <c r="P179" s="151">
        <f t="shared" si="21"/>
        <v>0.4246425374370319</v>
      </c>
      <c r="Q179" s="151">
        <f t="shared" si="21"/>
        <v>0.4036819024001801</v>
      </c>
      <c r="R179" s="152">
        <v>17.74</v>
      </c>
      <c r="S179" s="5">
        <f t="shared" si="22"/>
        <v>2.2003019848091654</v>
      </c>
      <c r="T179" s="5">
        <f t="shared" si="26"/>
        <v>1.7037069445363606</v>
      </c>
      <c r="U179" s="5">
        <f t="shared" si="23"/>
        <v>1.2591447068154915</v>
      </c>
      <c r="V179" s="5">
        <f t="shared" si="24"/>
        <v>1.0075175156756</v>
      </c>
      <c r="W179" s="26">
        <f t="shared" si="25"/>
        <v>0.8660652549672543</v>
      </c>
    </row>
    <row r="180" spans="11:23" ht="18" customHeight="1">
      <c r="K180" s="149">
        <v>3</v>
      </c>
      <c r="L180" s="150">
        <v>20</v>
      </c>
      <c r="M180" s="151">
        <f t="shared" si="20"/>
        <v>0.3056853889390255</v>
      </c>
      <c r="N180" s="151">
        <f t="shared" si="20"/>
        <v>0.31020219977117747</v>
      </c>
      <c r="O180" s="151">
        <v>0.30577</v>
      </c>
      <c r="P180" s="151">
        <f t="shared" si="21"/>
        <v>0.29240434082420474</v>
      </c>
      <c r="Q180" s="151">
        <f t="shared" si="21"/>
        <v>0.2750561219691142</v>
      </c>
      <c r="R180" s="152">
        <v>16.64</v>
      </c>
      <c r="S180" s="5">
        <f t="shared" si="22"/>
        <v>3.078772403398231</v>
      </c>
      <c r="T180" s="5">
        <f t="shared" si="26"/>
        <v>2.2508330774265772</v>
      </c>
      <c r="U180" s="5">
        <f t="shared" si="23"/>
        <v>1.549923144847436</v>
      </c>
      <c r="V180" s="5">
        <f t="shared" si="24"/>
        <v>1.1464092430763362</v>
      </c>
      <c r="W180" s="26">
        <f t="shared" si="25"/>
        <v>0.9548129371291258</v>
      </c>
    </row>
    <row r="181" spans="11:23" ht="18" customHeight="1">
      <c r="K181" s="149">
        <v>0</v>
      </c>
      <c r="L181" s="150">
        <v>20</v>
      </c>
      <c r="M181" s="151">
        <f t="shared" si="20"/>
        <v>0.1959178032443625</v>
      </c>
      <c r="N181" s="151">
        <f t="shared" si="20"/>
        <v>0.20195409795898137</v>
      </c>
      <c r="O181" s="151">
        <v>0.201869</v>
      </c>
      <c r="P181" s="151">
        <f t="shared" si="21"/>
        <v>0.19416416638790368</v>
      </c>
      <c r="Q181" s="151">
        <f t="shared" si="21"/>
        <v>0.18329635525282872</v>
      </c>
      <c r="R181" s="152">
        <v>16.39</v>
      </c>
      <c r="S181" s="5">
        <f t="shared" si="22"/>
        <v>4.407902947773614</v>
      </c>
      <c r="T181" s="5">
        <f t="shared" si="26"/>
        <v>2.9541895786255434</v>
      </c>
      <c r="U181" s="5">
        <f t="shared" si="23"/>
        <v>1.8800311092837463</v>
      </c>
      <c r="V181" s="5">
        <f t="shared" si="24"/>
        <v>1.2974095945632946</v>
      </c>
      <c r="W181" s="26">
        <f t="shared" si="25"/>
        <v>1.050094994174744</v>
      </c>
    </row>
    <row r="182" spans="11:23" ht="18" customHeight="1">
      <c r="K182" s="149">
        <v>-3</v>
      </c>
      <c r="L182" s="150">
        <v>20</v>
      </c>
      <c r="M182" s="151">
        <f t="shared" si="20"/>
        <v>0.12377948849573654</v>
      </c>
      <c r="N182" s="151">
        <f t="shared" si="20"/>
        <v>0.13051147071191718</v>
      </c>
      <c r="O182" s="151">
        <v>0.132449</v>
      </c>
      <c r="P182" s="151">
        <f t="shared" si="21"/>
        <v>0.12762879934925528</v>
      </c>
      <c r="Q182" s="151">
        <f t="shared" si="21"/>
        <v>0.11968746914504512</v>
      </c>
      <c r="R182" s="152">
        <v>14.9</v>
      </c>
      <c r="S182" s="5">
        <f t="shared" si="22"/>
        <v>6.149501839018243</v>
      </c>
      <c r="T182" s="5">
        <f t="shared" si="26"/>
        <v>3.771874004977036</v>
      </c>
      <c r="U182" s="5">
        <f t="shared" si="23"/>
        <v>2.2414665267385914</v>
      </c>
      <c r="V182" s="5">
        <f t="shared" si="24"/>
        <v>1.4567242416692094</v>
      </c>
      <c r="W182" s="26">
        <f t="shared" si="25"/>
        <v>1.147713578695062</v>
      </c>
    </row>
    <row r="183" spans="11:23" ht="18" customHeight="1">
      <c r="K183" s="149">
        <v>-8</v>
      </c>
      <c r="L183" s="150">
        <v>20</v>
      </c>
      <c r="M183" s="151">
        <f t="shared" si="20"/>
        <v>0.05359579198806739</v>
      </c>
      <c r="N183" s="151">
        <f t="shared" si="20"/>
        <v>0.05885502003672909</v>
      </c>
      <c r="O183" s="151">
        <v>0.062236</v>
      </c>
      <c r="P183" s="151">
        <f t="shared" si="21"/>
        <v>0.0597463944513205</v>
      </c>
      <c r="Q183" s="151">
        <f t="shared" si="21"/>
        <v>0.05430538025874324</v>
      </c>
      <c r="R183" s="152">
        <v>13.48</v>
      </c>
      <c r="S183" s="5">
        <f t="shared" si="22"/>
        <v>9.935994107229838</v>
      </c>
      <c r="T183" s="5">
        <f t="shared" si="26"/>
        <v>5.631148842572387</v>
      </c>
      <c r="U183" s="5">
        <f t="shared" si="23"/>
        <v>2.827623883282988</v>
      </c>
      <c r="V183" s="5">
        <f t="shared" si="24"/>
        <v>1.6713901734827674</v>
      </c>
      <c r="W183" s="26">
        <f t="shared" si="25"/>
        <v>1.242757736242024</v>
      </c>
    </row>
    <row r="184" spans="11:23" ht="18" customHeight="1">
      <c r="K184" s="149">
        <v>-12</v>
      </c>
      <c r="L184" s="150">
        <v>20</v>
      </c>
      <c r="M184" s="151">
        <f t="shared" si="20"/>
        <v>0.02468650314926592</v>
      </c>
      <c r="N184" s="151">
        <f t="shared" si="20"/>
        <v>0.029369143920898462</v>
      </c>
      <c r="O184" s="151">
        <v>0.031423</v>
      </c>
      <c r="P184" s="151">
        <f t="shared" si="21"/>
        <v>0.029199775575494948</v>
      </c>
      <c r="Q184" s="151">
        <f t="shared" si="21"/>
        <v>0.027128943978751447</v>
      </c>
      <c r="R184" s="152">
        <v>12.74</v>
      </c>
      <c r="S184" s="5">
        <f t="shared" si="22"/>
        <v>13.710138624655194</v>
      </c>
      <c r="T184" s="5">
        <f t="shared" si="26"/>
        <v>7.041730598121134</v>
      </c>
      <c r="U184" s="5">
        <f t="shared" si="23"/>
        <v>3.2129332017948675</v>
      </c>
      <c r="V184" s="5">
        <f t="shared" si="24"/>
        <v>1.8059062773948709</v>
      </c>
      <c r="W184" s="26">
        <f t="shared" si="25"/>
        <v>1.2735845159008097</v>
      </c>
    </row>
    <row r="185" spans="11:23" ht="18" customHeight="1">
      <c r="K185" s="149">
        <v>-17</v>
      </c>
      <c r="L185" s="150">
        <v>20</v>
      </c>
      <c r="M185" s="151">
        <f t="shared" si="20"/>
        <v>0.009099079400109043</v>
      </c>
      <c r="N185" s="151">
        <f t="shared" si="20"/>
        <v>0.011812333524893491</v>
      </c>
      <c r="O185" s="151">
        <v>0.012728</v>
      </c>
      <c r="P185" s="151">
        <f t="shared" si="21"/>
        <v>0.011792307113464387</v>
      </c>
      <c r="Q185" s="151">
        <f t="shared" si="21"/>
        <v>0.010925401245935166</v>
      </c>
      <c r="R185" s="152">
        <v>13.57</v>
      </c>
      <c r="S185" s="5">
        <f t="shared" si="22"/>
        <v>18.93970174980265</v>
      </c>
      <c r="T185" s="5">
        <f t="shared" si="26"/>
        <v>8.115324532185046</v>
      </c>
      <c r="U185" s="5">
        <f t="shared" si="23"/>
        <v>3.491514770584536</v>
      </c>
      <c r="V185" s="5">
        <f t="shared" si="24"/>
        <v>1.86002921287709</v>
      </c>
      <c r="W185" s="26">
        <f t="shared" si="25"/>
        <v>1.310587972072934</v>
      </c>
    </row>
    <row r="186" spans="11:23" ht="18" customHeight="1" thickBot="1">
      <c r="K186" s="149">
        <v>-20</v>
      </c>
      <c r="L186" s="150">
        <v>20</v>
      </c>
      <c r="M186" s="151">
        <f t="shared" si="20"/>
        <v>0.005547099371129732</v>
      </c>
      <c r="N186" s="151">
        <f t="shared" si="20"/>
        <v>0.007146861555841391</v>
      </c>
      <c r="O186" s="151">
        <v>0.007649</v>
      </c>
      <c r="P186" s="151">
        <f t="shared" si="21"/>
        <v>0.007015245626359257</v>
      </c>
      <c r="Q186" s="151">
        <f t="shared" si="21"/>
        <v>0.007176745744038252</v>
      </c>
      <c r="R186" s="152">
        <v>12.14</v>
      </c>
      <c r="S186" s="5">
        <f t="shared" si="22"/>
        <v>20.051889775194446</v>
      </c>
      <c r="T186" s="5">
        <f t="shared" si="26"/>
        <v>8.272450339105163</v>
      </c>
      <c r="U186" s="5">
        <f t="shared" si="23"/>
        <v>3.576938161851224</v>
      </c>
      <c r="V186" s="5">
        <f t="shared" si="24"/>
        <v>1.8681508885065057</v>
      </c>
      <c r="W186" s="26">
        <f t="shared" si="25"/>
        <v>1.315763391114415</v>
      </c>
    </row>
    <row r="187" spans="11:23" ht="27.75" customHeight="1">
      <c r="K187" s="154"/>
      <c r="L187" s="150"/>
      <c r="M187" s="150"/>
      <c r="N187" s="150"/>
      <c r="O187" s="155"/>
      <c r="P187" s="150"/>
      <c r="Q187" s="150"/>
      <c r="R187" s="156"/>
      <c r="S187" s="56" t="s">
        <v>54</v>
      </c>
      <c r="T187" s="41" t="s">
        <v>50</v>
      </c>
      <c r="U187" s="41" t="s">
        <v>51</v>
      </c>
      <c r="V187" s="41" t="s">
        <v>52</v>
      </c>
      <c r="W187" s="42" t="s">
        <v>53</v>
      </c>
    </row>
    <row r="188" spans="11:23" ht="18" customHeight="1">
      <c r="K188" s="149">
        <v>18</v>
      </c>
      <c r="L188" s="150">
        <v>10</v>
      </c>
      <c r="M188" s="151">
        <f aca="true" t="shared" si="27" ref="M188:N201">$O66*10^(M66/$R66)</f>
        <v>1.6575787711399457</v>
      </c>
      <c r="N188" s="151">
        <f t="shared" si="27"/>
        <v>1.5951719687107004</v>
      </c>
      <c r="O188" s="151">
        <v>1.5017</v>
      </c>
      <c r="P188" s="151">
        <f aca="true" t="shared" si="28" ref="P188:Q201">$O66*10^(P66/$R66)</f>
        <v>1.4039682041854404</v>
      </c>
      <c r="Q188" s="151">
        <f t="shared" si="28"/>
        <v>1.2807602991435165</v>
      </c>
      <c r="R188" s="152">
        <v>25.32</v>
      </c>
      <c r="S188" s="5">
        <f aca="true" t="shared" si="29" ref="S188:S201">$L188*((M128/M188)-1)</f>
        <v>0.6438449823194903</v>
      </c>
      <c r="T188" s="5">
        <f>$L188*((N128/N188)-1)</f>
        <v>0.6233478527029823</v>
      </c>
      <c r="U188" s="5">
        <f aca="true" t="shared" si="30" ref="U188:U201">$L188*((O128/O188)-1)</f>
        <v>0.6039821535592993</v>
      </c>
      <c r="V188" s="5">
        <f aca="true" t="shared" si="31" ref="V188:V201">$L188*((P128/P188)-1)</f>
        <v>0.5826872585434772</v>
      </c>
      <c r="W188" s="26">
        <f aca="true" t="shared" si="32" ref="W188:W201">$L188*((Q128/Q188)-1)</f>
        <v>0.5672081785275296</v>
      </c>
    </row>
    <row r="189" spans="11:23" ht="18" customHeight="1">
      <c r="K189" s="149">
        <v>15</v>
      </c>
      <c r="L189" s="150">
        <v>10</v>
      </c>
      <c r="M189" s="151">
        <f t="shared" si="27"/>
        <v>1.2517865132344292</v>
      </c>
      <c r="N189" s="151">
        <f t="shared" si="27"/>
        <v>1.2077568579728464</v>
      </c>
      <c r="O189" s="151">
        <v>1.14312</v>
      </c>
      <c r="P189" s="151">
        <f t="shared" si="28"/>
        <v>1.0609487733523169</v>
      </c>
      <c r="Q189" s="151">
        <f t="shared" si="28"/>
        <v>1.0122916303746199</v>
      </c>
      <c r="R189" s="152">
        <v>23.15</v>
      </c>
      <c r="S189" s="5">
        <f t="shared" si="29"/>
        <v>0.8365274540735945</v>
      </c>
      <c r="T189" s="5">
        <f aca="true" t="shared" si="33" ref="T189:T201">$L189*((N129/N189)-1)</f>
        <v>0.7800189078998443</v>
      </c>
      <c r="U189" s="5">
        <f t="shared" si="30"/>
        <v>0.7101616628175522</v>
      </c>
      <c r="V189" s="5">
        <f t="shared" si="31"/>
        <v>0.6549733064891394</v>
      </c>
      <c r="W189" s="26">
        <f t="shared" si="32"/>
        <v>0.6227826813762705</v>
      </c>
    </row>
    <row r="190" spans="11:23" ht="18" customHeight="1">
      <c r="K190" s="149">
        <v>13</v>
      </c>
      <c r="L190" s="150">
        <v>10</v>
      </c>
      <c r="M190" s="151">
        <f t="shared" si="27"/>
        <v>1.0114606267307797</v>
      </c>
      <c r="N190" s="151">
        <f t="shared" si="27"/>
        <v>0.986387176649408</v>
      </c>
      <c r="O190" s="151">
        <v>0.936898</v>
      </c>
      <c r="P190" s="151">
        <f t="shared" si="28"/>
        <v>0.8780948658896269</v>
      </c>
      <c r="Q190" s="151">
        <f t="shared" si="28"/>
        <v>0.8340389485361963</v>
      </c>
      <c r="R190" s="152">
        <v>21.74</v>
      </c>
      <c r="S190" s="5">
        <f t="shared" si="29"/>
        <v>1.012869835200767</v>
      </c>
      <c r="T190" s="5">
        <f t="shared" si="33"/>
        <v>0.8884274123912395</v>
      </c>
      <c r="U190" s="5">
        <f t="shared" si="30"/>
        <v>0.7833510157989432</v>
      </c>
      <c r="V190" s="5">
        <f t="shared" si="31"/>
        <v>0.7120988954843277</v>
      </c>
      <c r="W190" s="26">
        <f t="shared" si="32"/>
        <v>0.6591663874796505</v>
      </c>
    </row>
    <row r="191" spans="11:23" ht="18" customHeight="1">
      <c r="K191" s="149">
        <v>12</v>
      </c>
      <c r="L191" s="150">
        <v>10</v>
      </c>
      <c r="M191" s="151">
        <f t="shared" si="27"/>
        <v>0.9074230157889511</v>
      </c>
      <c r="N191" s="151">
        <f t="shared" si="27"/>
        <v>0.8882847957381187</v>
      </c>
      <c r="O191" s="151">
        <v>0.84272</v>
      </c>
      <c r="P191" s="151">
        <f t="shared" si="28"/>
        <v>0.7968813420226917</v>
      </c>
      <c r="Q191" s="151">
        <f t="shared" si="28"/>
        <v>0.7561646835831283</v>
      </c>
      <c r="R191" s="152">
        <v>21.82</v>
      </c>
      <c r="S191" s="5">
        <f t="shared" si="29"/>
        <v>1.0865661910443403</v>
      </c>
      <c r="T191" s="5">
        <f t="shared" si="33"/>
        <v>0.9564038493893867</v>
      </c>
      <c r="U191" s="5">
        <f t="shared" si="30"/>
        <v>0.860202677045756</v>
      </c>
      <c r="V191" s="5">
        <f t="shared" si="31"/>
        <v>0.7377452930103856</v>
      </c>
      <c r="W191" s="26">
        <f t="shared" si="32"/>
        <v>0.6867296712444748</v>
      </c>
    </row>
    <row r="192" spans="11:23" ht="18" customHeight="1">
      <c r="K192" s="149">
        <v>9</v>
      </c>
      <c r="L192" s="150">
        <v>10</v>
      </c>
      <c r="M192" s="151">
        <f t="shared" si="27"/>
        <v>0.6390053928255317</v>
      </c>
      <c r="N192" s="151">
        <f t="shared" si="27"/>
        <v>0.6336618907855163</v>
      </c>
      <c r="O192" s="151">
        <v>0.614</v>
      </c>
      <c r="P192" s="151">
        <f t="shared" si="28"/>
        <v>0.5777518034880368</v>
      </c>
      <c r="Q192" s="151">
        <f t="shared" si="28"/>
        <v>0.5503001874954442</v>
      </c>
      <c r="R192" s="152">
        <v>18.92</v>
      </c>
      <c r="S192" s="5">
        <f t="shared" si="29"/>
        <v>1.4227960039040766</v>
      </c>
      <c r="T192" s="5">
        <f t="shared" si="33"/>
        <v>1.1876185698642727</v>
      </c>
      <c r="U192" s="5">
        <f t="shared" si="30"/>
        <v>0.9893811074918579</v>
      </c>
      <c r="V192" s="5">
        <f t="shared" si="31"/>
        <v>0.8359992873822453</v>
      </c>
      <c r="W192" s="26">
        <f t="shared" si="32"/>
        <v>0.7708807682214402</v>
      </c>
    </row>
    <row r="193" spans="11:23" ht="18" customHeight="1">
      <c r="K193" s="149">
        <v>7</v>
      </c>
      <c r="L193" s="150">
        <v>10</v>
      </c>
      <c r="M193" s="151">
        <f t="shared" si="27"/>
        <v>0.4947271193504927</v>
      </c>
      <c r="N193" s="151">
        <f t="shared" si="27"/>
        <v>0.49242767190917347</v>
      </c>
      <c r="O193" s="151">
        <v>0.48137</v>
      </c>
      <c r="P193" s="151">
        <f t="shared" si="28"/>
        <v>0.4595655951076877</v>
      </c>
      <c r="Q193" s="151">
        <f t="shared" si="28"/>
        <v>0.4365570270048219</v>
      </c>
      <c r="R193" s="152">
        <v>19.77</v>
      </c>
      <c r="S193" s="5">
        <f t="shared" si="29"/>
        <v>1.7253867499995046</v>
      </c>
      <c r="T193" s="5">
        <f t="shared" si="33"/>
        <v>1.419437103735377</v>
      </c>
      <c r="U193" s="5">
        <f t="shared" si="30"/>
        <v>1.128466668051602</v>
      </c>
      <c r="V193" s="5">
        <f t="shared" si="31"/>
        <v>0.9342516265692224</v>
      </c>
      <c r="W193" s="26">
        <f t="shared" si="32"/>
        <v>0.8331459148089992</v>
      </c>
    </row>
    <row r="194" spans="11:23" ht="18" customHeight="1">
      <c r="K194" s="149">
        <v>6</v>
      </c>
      <c r="L194" s="150">
        <v>10</v>
      </c>
      <c r="M194" s="151">
        <f t="shared" si="27"/>
        <v>0.43240583862013654</v>
      </c>
      <c r="N194" s="151">
        <f t="shared" si="27"/>
        <v>0.43160271471615497</v>
      </c>
      <c r="O194" s="151">
        <v>0.428462</v>
      </c>
      <c r="P194" s="151">
        <f t="shared" si="28"/>
        <v>0.40635155878313306</v>
      </c>
      <c r="Q194" s="151">
        <f t="shared" si="28"/>
        <v>0.38800089368908597</v>
      </c>
      <c r="R194" s="152">
        <v>17.34</v>
      </c>
      <c r="S194" s="5">
        <f t="shared" si="29"/>
        <v>1.891279571328801</v>
      </c>
      <c r="T194" s="5">
        <f t="shared" si="33"/>
        <v>1.5460711794065318</v>
      </c>
      <c r="U194" s="5">
        <f t="shared" si="30"/>
        <v>1.1974924263995401</v>
      </c>
      <c r="V194" s="5">
        <f t="shared" si="31"/>
        <v>0.9765612439428173</v>
      </c>
      <c r="W194" s="26">
        <f t="shared" si="32"/>
        <v>0.8546823663777792</v>
      </c>
    </row>
    <row r="195" spans="11:23" ht="18" customHeight="1">
      <c r="K195" s="149">
        <v>3</v>
      </c>
      <c r="L195" s="150">
        <v>10</v>
      </c>
      <c r="M195" s="151">
        <f t="shared" si="27"/>
        <v>0.2814917999602668</v>
      </c>
      <c r="N195" s="151">
        <f t="shared" si="27"/>
        <v>0.2881056988905265</v>
      </c>
      <c r="O195" s="151">
        <v>0.287698</v>
      </c>
      <c r="P195" s="151">
        <f t="shared" si="28"/>
        <v>0.2782420072309686</v>
      </c>
      <c r="Q195" s="151">
        <f t="shared" si="28"/>
        <v>0.2632918753111164</v>
      </c>
      <c r="R195" s="152">
        <v>16.26</v>
      </c>
      <c r="S195" s="5">
        <f t="shared" si="29"/>
        <v>2.53117056938043</v>
      </c>
      <c r="T195" s="5">
        <f t="shared" si="33"/>
        <v>1.9786894079830408</v>
      </c>
      <c r="U195" s="5">
        <f t="shared" si="30"/>
        <v>1.4518001515478018</v>
      </c>
      <c r="V195" s="5">
        <f t="shared" si="31"/>
        <v>1.1113737229257592</v>
      </c>
      <c r="W195" s="26">
        <f t="shared" si="32"/>
        <v>0.9455515409738346</v>
      </c>
    </row>
    <row r="196" spans="11:23" ht="18" customHeight="1">
      <c r="K196" s="149">
        <v>0</v>
      </c>
      <c r="L196" s="150">
        <v>10</v>
      </c>
      <c r="M196" s="151">
        <f t="shared" si="27"/>
        <v>0.17697119091593075</v>
      </c>
      <c r="N196" s="151">
        <f t="shared" si="27"/>
        <v>0.18483571246889713</v>
      </c>
      <c r="O196" s="151">
        <v>0.188122</v>
      </c>
      <c r="P196" s="151">
        <f t="shared" si="28"/>
        <v>0.18374424278819135</v>
      </c>
      <c r="Q196" s="151">
        <f t="shared" si="28"/>
        <v>0.17493783717811096</v>
      </c>
      <c r="R196" s="152">
        <v>15.94</v>
      </c>
      <c r="S196" s="5">
        <f t="shared" si="29"/>
        <v>3.510511803022911</v>
      </c>
      <c r="T196" s="5">
        <f t="shared" si="33"/>
        <v>2.540035117701711</v>
      </c>
      <c r="U196" s="5">
        <f t="shared" si="30"/>
        <v>1.7394563102667426</v>
      </c>
      <c r="V196" s="5">
        <f t="shared" si="31"/>
        <v>1.2525805364060072</v>
      </c>
      <c r="W196" s="26">
        <f t="shared" si="32"/>
        <v>1.027933557420324</v>
      </c>
    </row>
    <row r="197" spans="11:23" ht="18" customHeight="1">
      <c r="K197" s="149">
        <v>-3</v>
      </c>
      <c r="L197" s="150">
        <v>10</v>
      </c>
      <c r="M197" s="151">
        <f t="shared" si="27"/>
        <v>0.10864780997764048</v>
      </c>
      <c r="N197" s="151">
        <f t="shared" si="27"/>
        <v>0.11700946042031471</v>
      </c>
      <c r="O197" s="151">
        <v>0.121961</v>
      </c>
      <c r="P197" s="151">
        <f t="shared" si="28"/>
        <v>0.12006625829541094</v>
      </c>
      <c r="Q197" s="151">
        <f t="shared" si="28"/>
        <v>0.11387305618682225</v>
      </c>
      <c r="R197" s="152">
        <v>14.5</v>
      </c>
      <c r="S197" s="5">
        <f t="shared" si="29"/>
        <v>4.89570734429954</v>
      </c>
      <c r="T197" s="5">
        <f t="shared" si="33"/>
        <v>3.2574845949349474</v>
      </c>
      <c r="U197" s="5">
        <f t="shared" si="30"/>
        <v>2.0770574199949166</v>
      </c>
      <c r="V197" s="5">
        <f t="shared" si="31"/>
        <v>1.40410300033881</v>
      </c>
      <c r="W197" s="26">
        <f t="shared" si="32"/>
        <v>1.1137629971295437</v>
      </c>
    </row>
    <row r="198" spans="11:23" ht="18" customHeight="1">
      <c r="K198" s="149">
        <v>-8</v>
      </c>
      <c r="L198" s="150">
        <v>10</v>
      </c>
      <c r="M198" s="151">
        <f t="shared" si="27"/>
        <v>0.041093352958802364</v>
      </c>
      <c r="N198" s="151">
        <f t="shared" si="27"/>
        <v>0.047179832247226425</v>
      </c>
      <c r="O198" s="151">
        <v>0.0526091</v>
      </c>
      <c r="P198" s="151">
        <f t="shared" si="28"/>
        <v>0.05223333268242247</v>
      </c>
      <c r="Q198" s="151">
        <f t="shared" si="28"/>
        <v>0.04821384088141454</v>
      </c>
      <c r="R198" s="152">
        <v>13.17</v>
      </c>
      <c r="S198" s="5">
        <f t="shared" si="29"/>
        <v>9.521932351633811</v>
      </c>
      <c r="T198" s="5">
        <f t="shared" si="33"/>
        <v>5.986934531572709</v>
      </c>
      <c r="U198" s="5">
        <f t="shared" si="30"/>
        <v>3.50241688225041</v>
      </c>
      <c r="V198" s="5">
        <f t="shared" si="31"/>
        <v>2.3942639605790816</v>
      </c>
      <c r="W198" s="26">
        <f t="shared" si="32"/>
        <v>1.963328533069335</v>
      </c>
    </row>
    <row r="199" spans="11:23" ht="18" customHeight="1">
      <c r="K199" s="149">
        <v>-12</v>
      </c>
      <c r="L199" s="150">
        <v>10</v>
      </c>
      <c r="M199" s="151">
        <f t="shared" si="27"/>
        <v>0.018691230707842444</v>
      </c>
      <c r="N199" s="151">
        <f t="shared" si="27"/>
        <v>0.024090016710233104</v>
      </c>
      <c r="O199" s="151">
        <v>0.027873</v>
      </c>
      <c r="P199" s="151">
        <f t="shared" si="28"/>
        <v>0.027056732519062238</v>
      </c>
      <c r="Q199" s="151">
        <f t="shared" si="28"/>
        <v>0.025607723142423246</v>
      </c>
      <c r="R199" s="152">
        <v>12.55</v>
      </c>
      <c r="S199" s="5">
        <f t="shared" si="29"/>
        <v>12.26138707309877</v>
      </c>
      <c r="T199" s="5">
        <f t="shared" si="33"/>
        <v>6.483850703785967</v>
      </c>
      <c r="U199" s="5">
        <f t="shared" si="30"/>
        <v>3.0847056291034347</v>
      </c>
      <c r="V199" s="5">
        <f t="shared" si="31"/>
        <v>1.7665274081342597</v>
      </c>
      <c r="W199" s="26">
        <f t="shared" si="32"/>
        <v>1.2686684276705629</v>
      </c>
    </row>
    <row r="200" spans="11:23" ht="18" customHeight="1">
      <c r="K200" s="149">
        <v>-17</v>
      </c>
      <c r="L200" s="150">
        <v>10</v>
      </c>
      <c r="M200" s="151">
        <f t="shared" si="27"/>
        <v>0.006343236267914553</v>
      </c>
      <c r="N200" s="151">
        <f t="shared" si="27"/>
        <v>0.009339865619983484</v>
      </c>
      <c r="O200" s="151">
        <v>0.011139</v>
      </c>
      <c r="P200" s="151">
        <f t="shared" si="28"/>
        <v>0.010888241078890717</v>
      </c>
      <c r="Q200" s="151">
        <f t="shared" si="28"/>
        <v>0.010314859204252869</v>
      </c>
      <c r="R200" s="152">
        <v>13.45</v>
      </c>
      <c r="S200" s="5">
        <f t="shared" si="29"/>
        <v>17.928601669011034</v>
      </c>
      <c r="T200" s="5">
        <f t="shared" si="33"/>
        <v>7.779034733873244</v>
      </c>
      <c r="U200" s="5">
        <f t="shared" si="30"/>
        <v>3.421312505610916</v>
      </c>
      <c r="V200" s="5">
        <f t="shared" si="31"/>
        <v>1.8375491560025337</v>
      </c>
      <c r="W200" s="26">
        <f t="shared" si="32"/>
        <v>1.2859865448139596</v>
      </c>
    </row>
    <row r="201" spans="11:23" ht="18" customHeight="1" thickBot="1">
      <c r="K201" s="160">
        <v>-20</v>
      </c>
      <c r="L201" s="162">
        <v>10</v>
      </c>
      <c r="M201" s="163">
        <f t="shared" si="27"/>
        <v>0.0037884482270693506</v>
      </c>
      <c r="N201" s="163">
        <f t="shared" si="27"/>
        <v>0.005597965003872644</v>
      </c>
      <c r="O201" s="163">
        <v>0.006664</v>
      </c>
      <c r="P201" s="163">
        <f t="shared" si="28"/>
        <v>0.006463503525920833</v>
      </c>
      <c r="Q201" s="163">
        <f t="shared" si="28"/>
        <v>0.006763985222202654</v>
      </c>
      <c r="R201" s="161">
        <v>12.06</v>
      </c>
      <c r="S201" s="5">
        <f t="shared" si="29"/>
        <v>19.322271187061336</v>
      </c>
      <c r="T201" s="5">
        <f t="shared" si="33"/>
        <v>8.047566238642256</v>
      </c>
      <c r="U201" s="5">
        <f t="shared" si="30"/>
        <v>3.5309123649459795</v>
      </c>
      <c r="V201" s="5">
        <f t="shared" si="31"/>
        <v>1.8674376258891034</v>
      </c>
      <c r="W201" s="26">
        <f t="shared" si="32"/>
        <v>1.3082605278290638</v>
      </c>
    </row>
    <row r="202" spans="11:23" ht="27" customHeight="1" thickBot="1">
      <c r="K202" s="39"/>
      <c r="L202" s="40"/>
      <c r="M202" s="59" t="s">
        <v>30</v>
      </c>
      <c r="N202" s="60" t="s">
        <v>33</v>
      </c>
      <c r="O202" s="61" t="s">
        <v>6</v>
      </c>
      <c r="P202" s="60" t="s">
        <v>31</v>
      </c>
      <c r="Q202" s="62" t="s">
        <v>32</v>
      </c>
      <c r="R202" s="42" t="s">
        <v>49</v>
      </c>
      <c r="S202" s="56" t="s">
        <v>48</v>
      </c>
      <c r="T202" s="41" t="s">
        <v>44</v>
      </c>
      <c r="U202" s="41" t="s">
        <v>45</v>
      </c>
      <c r="V202" s="41" t="s">
        <v>46</v>
      </c>
      <c r="W202" s="42" t="s">
        <v>47</v>
      </c>
    </row>
    <row r="203" spans="11:23" ht="18" customHeight="1" thickTop="1">
      <c r="K203" s="43">
        <v>18</v>
      </c>
      <c r="L203" s="44">
        <v>5</v>
      </c>
      <c r="M203" s="45">
        <f aca="true" t="shared" si="34" ref="M203:N216">$O81*10^(M81/$R81)</f>
        <v>1.5608401058921824</v>
      </c>
      <c r="N203" s="45">
        <f t="shared" si="34"/>
        <v>1.5053710210132492</v>
      </c>
      <c r="O203" s="46">
        <v>1.4204</v>
      </c>
      <c r="P203" s="45">
        <f aca="true" t="shared" si="35" ref="P203:Q216">$O81*10^(P81/$R81)</f>
        <v>1.3306354953880253</v>
      </c>
      <c r="Q203" s="45">
        <f t="shared" si="35"/>
        <v>1.2144144362565408</v>
      </c>
      <c r="R203" s="48">
        <v>24.69</v>
      </c>
      <c r="S203" s="57">
        <f>$L203*((M128/M203)-1)</f>
        <v>0.6517677305300928</v>
      </c>
      <c r="T203" s="47">
        <f>$L203*((N128/N203)-1)</f>
        <v>0.6285349166242715</v>
      </c>
      <c r="U203" s="47">
        <f>$L203*((E$6/O203)-1)</f>
        <v>0.6054632497887913</v>
      </c>
      <c r="V203" s="47">
        <f>$L203*((P128/P203)-1)</f>
        <v>0.582955090755628</v>
      </c>
      <c r="W203" s="48">
        <f>$L203*((Q128/Q203)-1)</f>
        <v>0.5722578321622118</v>
      </c>
    </row>
    <row r="204" spans="11:23" ht="18" customHeight="1">
      <c r="K204" s="43">
        <v>15</v>
      </c>
      <c r="L204" s="44">
        <v>5</v>
      </c>
      <c r="M204" s="45">
        <f t="shared" si="34"/>
        <v>1.1632473231712448</v>
      </c>
      <c r="N204" s="45">
        <f t="shared" si="34"/>
        <v>1.129982932159998</v>
      </c>
      <c r="O204" s="46">
        <v>1.07374</v>
      </c>
      <c r="P204" s="45">
        <f t="shared" si="35"/>
        <v>0.9994869718002866</v>
      </c>
      <c r="Q204" s="45">
        <f t="shared" si="35"/>
        <v>0.9555992534781509</v>
      </c>
      <c r="R204" s="48">
        <v>22.46</v>
      </c>
      <c r="S204" s="57">
        <f aca="true" t="shared" si="36" ref="S204:S216">$L204*((M129/M204)-1)</f>
        <v>0.8306684430285205</v>
      </c>
      <c r="T204" s="47">
        <f aca="true" t="shared" si="37" ref="T204:T216">$L204*((N129/N204)-1)</f>
        <v>0.7609904515130761</v>
      </c>
      <c r="U204" s="47">
        <f>L204*((E$15/O204)-1)</f>
        <v>0.6810773557844552</v>
      </c>
      <c r="V204" s="47">
        <f aca="true" t="shared" si="38" ref="V204:V216">$L204*((P129/P204)-1)</f>
        <v>0.6550916512997473</v>
      </c>
      <c r="W204" s="48">
        <f aca="true" t="shared" si="39" ref="W204:W216">$L204*((Q129/Q204)-1)</f>
        <v>0.6264976979136627</v>
      </c>
    </row>
    <row r="205" spans="11:23" ht="18" customHeight="1">
      <c r="K205" s="43">
        <v>13</v>
      </c>
      <c r="L205" s="44">
        <v>5</v>
      </c>
      <c r="M205" s="45">
        <f t="shared" si="34"/>
        <v>0.9342412507732</v>
      </c>
      <c r="N205" s="45">
        <f t="shared" si="34"/>
        <v>0.9156912371934848</v>
      </c>
      <c r="O205" s="46">
        <v>0.874649</v>
      </c>
      <c r="P205" s="45">
        <f t="shared" si="35"/>
        <v>0.8239335442499952</v>
      </c>
      <c r="Q205" s="45">
        <f t="shared" si="35"/>
        <v>0.7852143530849803</v>
      </c>
      <c r="R205" s="48">
        <v>21.24</v>
      </c>
      <c r="S205" s="57">
        <f t="shared" si="36"/>
        <v>0.9615673234283428</v>
      </c>
      <c r="T205" s="47">
        <f t="shared" si="37"/>
        <v>0.8645342104498144</v>
      </c>
      <c r="U205" s="47">
        <f>L205*((E$22/O205)-1)</f>
        <v>0.7754024757359801</v>
      </c>
      <c r="V205" s="47">
        <f t="shared" si="38"/>
        <v>0.708129683923101</v>
      </c>
      <c r="W205" s="48">
        <f t="shared" si="39"/>
        <v>0.6609764525813178</v>
      </c>
    </row>
    <row r="206" spans="11:23" ht="18" customHeight="1">
      <c r="K206" s="43">
        <v>12</v>
      </c>
      <c r="L206" s="44">
        <v>5</v>
      </c>
      <c r="M206" s="45">
        <f t="shared" si="34"/>
        <v>0.8339431375072098</v>
      </c>
      <c r="N206" s="45">
        <f t="shared" si="34"/>
        <v>0.8207924745514905</v>
      </c>
      <c r="O206" s="46">
        <v>0.78479</v>
      </c>
      <c r="P206" s="45">
        <f t="shared" si="35"/>
        <v>0.7464557220566367</v>
      </c>
      <c r="Q206" s="45">
        <f t="shared" si="35"/>
        <v>0.7106125825933137</v>
      </c>
      <c r="R206" s="48">
        <v>21.15</v>
      </c>
      <c r="S206" s="57">
        <f t="shared" si="36"/>
        <v>1.0317094028094365</v>
      </c>
      <c r="T206" s="47">
        <f t="shared" si="37"/>
        <v>0.9286648313249413</v>
      </c>
      <c r="U206" s="47">
        <f>L206*((E$30/O206)-1)</f>
        <v>0.8309292931867129</v>
      </c>
      <c r="V206" s="47">
        <f t="shared" si="38"/>
        <v>0.7315582334987603</v>
      </c>
      <c r="W206" s="48">
        <f t="shared" si="39"/>
        <v>0.6858883154759399</v>
      </c>
    </row>
    <row r="207" spans="11:23" ht="18" customHeight="1">
      <c r="K207" s="43">
        <v>9</v>
      </c>
      <c r="L207" s="44">
        <v>5</v>
      </c>
      <c r="M207" s="45">
        <f t="shared" si="34"/>
        <v>0.5802996566965847</v>
      </c>
      <c r="N207" s="45">
        <f t="shared" si="34"/>
        <v>0.579357400723321</v>
      </c>
      <c r="O207" s="46">
        <v>0.566113</v>
      </c>
      <c r="P207" s="45">
        <f t="shared" si="35"/>
        <v>0.5366208149782451</v>
      </c>
      <c r="Q207" s="45">
        <f t="shared" si="35"/>
        <v>0.5140986346283427</v>
      </c>
      <c r="R207" s="48">
        <v>18.42</v>
      </c>
      <c r="S207" s="57">
        <f t="shared" si="36"/>
        <v>1.2891888383944983</v>
      </c>
      <c r="T207" s="47">
        <f t="shared" si="37"/>
        <v>1.1181297826838876</v>
      </c>
      <c r="U207" s="47">
        <f>L207*((E$38/O207)-1)</f>
        <v>0.9594815875982365</v>
      </c>
      <c r="V207" s="47">
        <f t="shared" si="38"/>
        <v>0.8332792505765718</v>
      </c>
      <c r="W207" s="48">
        <f t="shared" si="39"/>
        <v>0.7646697608215747</v>
      </c>
    </row>
    <row r="208" spans="11:23" ht="18" customHeight="1">
      <c r="K208" s="43">
        <v>7</v>
      </c>
      <c r="L208" s="44">
        <v>5</v>
      </c>
      <c r="M208" s="45">
        <f t="shared" si="34"/>
        <v>0.4460128241283889</v>
      </c>
      <c r="N208" s="45">
        <f t="shared" si="34"/>
        <v>0.44644071586392536</v>
      </c>
      <c r="O208" s="49">
        <v>0.44091</v>
      </c>
      <c r="P208" s="45">
        <f t="shared" si="35"/>
        <v>0.42482740088028115</v>
      </c>
      <c r="Q208" s="45">
        <f t="shared" si="35"/>
        <v>0.40591131398838365</v>
      </c>
      <c r="R208" s="48">
        <v>19.21</v>
      </c>
      <c r="S208" s="57">
        <f t="shared" si="36"/>
        <v>1.5030269268982466</v>
      </c>
      <c r="T208" s="47">
        <f t="shared" si="37"/>
        <v>1.2978651226108218</v>
      </c>
      <c r="U208" s="47">
        <f>L208*((E$46/O208)-1)</f>
        <v>1.0748338663219248</v>
      </c>
      <c r="V208" s="47">
        <f t="shared" si="38"/>
        <v>0.914173433033294</v>
      </c>
      <c r="W208" s="48">
        <f t="shared" si="39"/>
        <v>0.8255163267188348</v>
      </c>
    </row>
    <row r="209" spans="11:23" ht="18" customHeight="1">
      <c r="K209" s="43">
        <v>6</v>
      </c>
      <c r="L209" s="44">
        <v>5</v>
      </c>
      <c r="M209" s="45">
        <f t="shared" si="34"/>
        <v>0.38829093229020734</v>
      </c>
      <c r="N209" s="45">
        <f t="shared" si="34"/>
        <v>0.38972451284572523</v>
      </c>
      <c r="O209" s="49">
        <v>0.39111</v>
      </c>
      <c r="P209" s="45">
        <f t="shared" si="35"/>
        <v>0.3746508489840623</v>
      </c>
      <c r="Q209" s="45">
        <f t="shared" si="35"/>
        <v>0.3602093619876763</v>
      </c>
      <c r="R209" s="48">
        <v>16.87</v>
      </c>
      <c r="S209" s="57">
        <f t="shared" si="36"/>
        <v>1.6211418909261577</v>
      </c>
      <c r="T209" s="47">
        <f t="shared" si="37"/>
        <v>1.393382377913821</v>
      </c>
      <c r="U209" s="47">
        <f>L209*((E$54/O209)-1)</f>
        <v>1.1334407200020447</v>
      </c>
      <c r="V209" s="47">
        <f t="shared" si="38"/>
        <v>0.9526660404610932</v>
      </c>
      <c r="W209" s="48">
        <f t="shared" si="39"/>
        <v>0.8460813395097588</v>
      </c>
    </row>
    <row r="210" spans="11:23" ht="18" customHeight="1">
      <c r="K210" s="43">
        <v>3</v>
      </c>
      <c r="L210" s="44">
        <v>5</v>
      </c>
      <c r="M210" s="45">
        <f t="shared" si="34"/>
        <v>0.24904909019389773</v>
      </c>
      <c r="N210" s="45">
        <f t="shared" si="34"/>
        <v>0.25659345201134653</v>
      </c>
      <c r="O210" s="49">
        <v>0.25969</v>
      </c>
      <c r="P210" s="45">
        <f t="shared" si="35"/>
        <v>0.2544255313383357</v>
      </c>
      <c r="Q210" s="45">
        <f t="shared" si="35"/>
        <v>0.2431451693398207</v>
      </c>
      <c r="R210" s="48">
        <v>15.74</v>
      </c>
      <c r="S210" s="57">
        <f t="shared" si="36"/>
        <v>2.0817800547629717</v>
      </c>
      <c r="T210" s="47">
        <f t="shared" si="37"/>
        <v>1.7248962446767602</v>
      </c>
      <c r="U210" s="47">
        <f>L210*((E$62/O210)-1)</f>
        <v>1.3434479571797142</v>
      </c>
      <c r="V210" s="47">
        <f t="shared" si="38"/>
        <v>1.0757481992815776</v>
      </c>
      <c r="W210" s="48">
        <f t="shared" si="39"/>
        <v>0.9262431562227769</v>
      </c>
    </row>
    <row r="211" spans="11:23" ht="18" customHeight="1">
      <c r="K211" s="43">
        <v>0</v>
      </c>
      <c r="L211" s="44">
        <v>5</v>
      </c>
      <c r="M211" s="45">
        <f t="shared" si="34"/>
        <v>0.153125683519588</v>
      </c>
      <c r="N211" s="45">
        <f t="shared" si="34"/>
        <v>0.16160355438681623</v>
      </c>
      <c r="O211" s="49">
        <v>0.167456</v>
      </c>
      <c r="P211" s="45">
        <f t="shared" si="35"/>
        <v>0.16670362418273593</v>
      </c>
      <c r="Q211" s="45">
        <f t="shared" si="35"/>
        <v>0.16058795535706047</v>
      </c>
      <c r="R211" s="48">
        <v>15.34</v>
      </c>
      <c r="S211" s="57">
        <f t="shared" si="36"/>
        <v>2.807218582501373</v>
      </c>
      <c r="T211" s="47">
        <f t="shared" si="37"/>
        <v>2.171396489885863</v>
      </c>
      <c r="U211" s="47">
        <f>L211*((E$70/O211)-1)</f>
        <v>1.594120246512517</v>
      </c>
      <c r="V211" s="47">
        <f t="shared" si="38"/>
        <v>1.2014155367390777</v>
      </c>
      <c r="W211" s="48">
        <f t="shared" si="39"/>
        <v>1.0066859958130814</v>
      </c>
    </row>
    <row r="212" spans="11:23" ht="18" customHeight="1">
      <c r="K212" s="43">
        <v>-3</v>
      </c>
      <c r="L212" s="44">
        <v>5</v>
      </c>
      <c r="M212" s="45">
        <f t="shared" si="34"/>
        <v>0.0909089945316521</v>
      </c>
      <c r="N212" s="45">
        <f t="shared" si="34"/>
        <v>0.09967973033725658</v>
      </c>
      <c r="O212" s="49">
        <v>0.106735</v>
      </c>
      <c r="P212" s="45">
        <f t="shared" si="35"/>
        <v>0.10784669844887886</v>
      </c>
      <c r="Q212" s="45">
        <f t="shared" si="35"/>
        <v>0.10385008454269024</v>
      </c>
      <c r="R212" s="48">
        <v>13.9</v>
      </c>
      <c r="S212" s="57">
        <f t="shared" si="36"/>
        <v>3.9011323321947033</v>
      </c>
      <c r="T212" s="47">
        <f t="shared" si="37"/>
        <v>2.781176342148334</v>
      </c>
      <c r="U212" s="47">
        <f>L212*((E$78/O212)-1)</f>
        <v>1.899939101513094</v>
      </c>
      <c r="V212" s="47">
        <f t="shared" si="38"/>
        <v>1.3481218996944866</v>
      </c>
      <c r="W212" s="48">
        <f t="shared" si="39"/>
        <v>1.09319753465833</v>
      </c>
    </row>
    <row r="213" spans="11:23" ht="18" customHeight="1">
      <c r="K213" s="43">
        <v>-8</v>
      </c>
      <c r="L213" s="44">
        <v>5</v>
      </c>
      <c r="M213" s="45">
        <f t="shared" si="34"/>
        <v>0.033451979781015405</v>
      </c>
      <c r="N213" s="45">
        <f t="shared" si="34"/>
        <v>0.04010271726128372</v>
      </c>
      <c r="O213" s="49">
        <v>0.047433</v>
      </c>
      <c r="P213" s="45">
        <f t="shared" si="35"/>
        <v>0.04917228655245617</v>
      </c>
      <c r="Q213" s="45">
        <f t="shared" si="35"/>
        <v>0.0464680922642435</v>
      </c>
      <c r="R213" s="48">
        <v>12.66</v>
      </c>
      <c r="S213" s="57">
        <f t="shared" si="36"/>
        <v>6.990645423904416</v>
      </c>
      <c r="T213" s="47">
        <f t="shared" si="37"/>
        <v>4.404112001098443</v>
      </c>
      <c r="U213" s="47">
        <f>L213*((E$86/O213)-1)</f>
        <v>2.487930343853435</v>
      </c>
      <c r="V213" s="47">
        <f t="shared" si="38"/>
        <v>1.5829124309285236</v>
      </c>
      <c r="W213" s="48">
        <f t="shared" si="39"/>
        <v>1.2063879772112884</v>
      </c>
    </row>
    <row r="214" spans="11:23" ht="18" customHeight="1">
      <c r="K214" s="43">
        <v>-12</v>
      </c>
      <c r="L214" s="44">
        <v>5</v>
      </c>
      <c r="M214" s="45">
        <f t="shared" si="34"/>
        <v>0.012896991450774517</v>
      </c>
      <c r="N214" s="45">
        <f t="shared" si="34"/>
        <v>0.01806865220277471</v>
      </c>
      <c r="O214" s="49">
        <v>0.022915</v>
      </c>
      <c r="P214" s="45">
        <f t="shared" si="35"/>
        <v>0.023630318480600425</v>
      </c>
      <c r="Q214" s="45">
        <f t="shared" si="35"/>
        <v>0.023027631111612136</v>
      </c>
      <c r="R214" s="48">
        <v>12.21</v>
      </c>
      <c r="S214" s="57">
        <f t="shared" si="36"/>
        <v>11.131387046662056</v>
      </c>
      <c r="T214" s="47">
        <f t="shared" si="37"/>
        <v>5.98854066276763</v>
      </c>
      <c r="U214" s="47">
        <f>L214*((E$94/O214)-1)</f>
        <v>2.957887846388828</v>
      </c>
      <c r="V214" s="47">
        <f t="shared" si="38"/>
        <v>1.7363413874736322</v>
      </c>
      <c r="W214" s="48">
        <f t="shared" si="39"/>
        <v>1.2656236735970439</v>
      </c>
    </row>
    <row r="215" spans="11:23" ht="18" customHeight="1">
      <c r="K215" s="43">
        <v>-17</v>
      </c>
      <c r="L215" s="44">
        <v>5</v>
      </c>
      <c r="M215" s="45">
        <f t="shared" si="34"/>
        <v>0.003958847062570929</v>
      </c>
      <c r="N215" s="45">
        <f t="shared" si="34"/>
        <v>0.006624475388628196</v>
      </c>
      <c r="O215" s="49">
        <v>0.008927</v>
      </c>
      <c r="P215" s="45">
        <f t="shared" si="35"/>
        <v>0.009428431991479889</v>
      </c>
      <c r="Q215" s="45">
        <f t="shared" si="35"/>
        <v>0.009248034689371002</v>
      </c>
      <c r="R215" s="48">
        <v>13.23</v>
      </c>
      <c r="S215" s="57">
        <f t="shared" si="36"/>
        <v>17.374913228393453</v>
      </c>
      <c r="T215" s="47">
        <f t="shared" si="37"/>
        <v>7.533354380970954</v>
      </c>
      <c r="U215" s="47">
        <f>L215*((E$102/O215)-1)</f>
        <v>3.3734737313767225</v>
      </c>
      <c r="V215" s="47">
        <f t="shared" si="38"/>
        <v>1.8351815609556243</v>
      </c>
      <c r="W215" s="48">
        <f t="shared" si="39"/>
        <v>1.2939514232491522</v>
      </c>
    </row>
    <row r="216" spans="11:23" ht="18" customHeight="1" thickBot="1">
      <c r="K216" s="50">
        <v>-20</v>
      </c>
      <c r="L216" s="51">
        <v>5</v>
      </c>
      <c r="M216" s="52">
        <f t="shared" si="34"/>
        <v>0.002319187898977475</v>
      </c>
      <c r="N216" s="52">
        <f t="shared" si="34"/>
        <v>0.003907730144349218</v>
      </c>
      <c r="O216" s="53">
        <v>0.005296</v>
      </c>
      <c r="P216" s="52">
        <f t="shared" si="35"/>
        <v>0.005588248827001925</v>
      </c>
      <c r="Q216" s="52">
        <f t="shared" si="35"/>
        <v>0.0060717310343197245</v>
      </c>
      <c r="R216" s="55">
        <v>11.96</v>
      </c>
      <c r="S216" s="58">
        <f t="shared" si="36"/>
        <v>18.94931138206757</v>
      </c>
      <c r="T216" s="54">
        <f t="shared" si="37"/>
        <v>7.926896238611427</v>
      </c>
      <c r="U216" s="54">
        <f>L216*((E$110/O216)-1)</f>
        <v>3.5130287009063443</v>
      </c>
      <c r="V216" s="54">
        <f t="shared" si="38"/>
        <v>1.8630824533033408</v>
      </c>
      <c r="W216" s="55">
        <f t="shared" si="39"/>
        <v>1.2987726783934506</v>
      </c>
    </row>
    <row r="217" spans="11:23" ht="40.5" customHeight="1" thickBot="1">
      <c r="K217" s="81"/>
      <c r="L217" s="23"/>
      <c r="M217" s="28" t="s">
        <v>30</v>
      </c>
      <c r="N217" s="28" t="s">
        <v>33</v>
      </c>
      <c r="O217" s="29" t="s">
        <v>6</v>
      </c>
      <c r="P217" s="28" t="s">
        <v>31</v>
      </c>
      <c r="Q217" s="28" t="s">
        <v>32</v>
      </c>
      <c r="R217" s="30"/>
      <c r="S217" s="28" t="s">
        <v>39</v>
      </c>
      <c r="T217" s="28" t="s">
        <v>40</v>
      </c>
      <c r="U217" s="28" t="s">
        <v>41</v>
      </c>
      <c r="V217" s="28" t="s">
        <v>42</v>
      </c>
      <c r="W217" s="83" t="s">
        <v>43</v>
      </c>
    </row>
    <row r="218" spans="11:23" ht="18" customHeight="1" thickTop="1">
      <c r="K218" s="32">
        <v>18</v>
      </c>
      <c r="L218">
        <v>2</v>
      </c>
      <c r="M218" s="12">
        <f aca="true" t="shared" si="40" ref="M218:N231">$O96*10^(M96/$R96)</f>
        <v>1.331695659959735</v>
      </c>
      <c r="N218" s="12">
        <f t="shared" si="40"/>
        <v>1.2905027339193789</v>
      </c>
      <c r="O218" s="12">
        <v>1.2247</v>
      </c>
      <c r="P218" s="12">
        <f aca="true" t="shared" si="41" ref="P218:Q231">$O96*10^(P96/$R96)</f>
        <v>1.152366130771227</v>
      </c>
      <c r="Q218" s="12">
        <f t="shared" si="41"/>
        <v>1.0528295746577578</v>
      </c>
      <c r="R218" s="26">
        <v>23.45</v>
      </c>
      <c r="S218" s="5">
        <f>$L218*((M128/M218)-1)</f>
        <v>0.6497062379148506</v>
      </c>
      <c r="T218" s="5">
        <f>$L218*((N128/N218)-1)</f>
        <v>0.6262736626722205</v>
      </c>
      <c r="U218" s="5">
        <f>L218*(($O128/O218)-1)</f>
        <v>0.6004735853678453</v>
      </c>
      <c r="V218" s="5">
        <f>$L218*((P128/P218)-1)</f>
        <v>0.5786520497421765</v>
      </c>
      <c r="W218" s="26">
        <f>$L218*((Q128/Q218)-1)</f>
        <v>0.5709879421353139</v>
      </c>
    </row>
    <row r="219" spans="11:23" ht="18" customHeight="1">
      <c r="K219" s="32">
        <v>15</v>
      </c>
      <c r="L219">
        <v>2</v>
      </c>
      <c r="M219" s="12">
        <f t="shared" si="40"/>
        <v>0.9703169039486289</v>
      </c>
      <c r="N219" s="12">
        <f t="shared" si="40"/>
        <v>0.9511626184645527</v>
      </c>
      <c r="O219" s="12">
        <v>0.9122</v>
      </c>
      <c r="P219" s="12">
        <f t="shared" si="41"/>
        <v>0.8546882136216688</v>
      </c>
      <c r="Q219" s="12">
        <f t="shared" si="41"/>
        <v>0.8225245919951512</v>
      </c>
      <c r="R219" s="26">
        <v>21.25</v>
      </c>
      <c r="S219" s="5">
        <f aca="true" t="shared" si="42" ref="S219:S231">$L219*((M129/M219)-1)</f>
        <v>0.7959976502732595</v>
      </c>
      <c r="T219" s="5">
        <f aca="true" t="shared" si="43" ref="T219:T231">$L219*((N129/N219)-1)</f>
        <v>0.737626881533759</v>
      </c>
      <c r="U219" s="5">
        <f>L219*((O129/O219)-1)</f>
        <v>0.6842797632098221</v>
      </c>
      <c r="V219" s="5">
        <f aca="true" t="shared" si="44" ref="V219:V231">$L219*((P129/P219)-1)</f>
        <v>0.6452642447752912</v>
      </c>
      <c r="W219" s="26">
        <f aca="true" t="shared" si="45" ref="W219:W231">$L219*((Q129/Q219)-1)</f>
        <v>0.6147191474389504</v>
      </c>
    </row>
    <row r="220" spans="11:23" ht="18" customHeight="1">
      <c r="K220" s="32">
        <v>13</v>
      </c>
      <c r="L220">
        <v>2</v>
      </c>
      <c r="M220" s="12">
        <f t="shared" si="40"/>
        <v>0.7694368596951116</v>
      </c>
      <c r="N220" s="12">
        <f t="shared" si="40"/>
        <v>0.7610216549110791</v>
      </c>
      <c r="O220" s="12">
        <v>0.73449</v>
      </c>
      <c r="P220" s="12">
        <f t="shared" si="41"/>
        <v>0.6987497772846288</v>
      </c>
      <c r="Q220" s="12">
        <f t="shared" si="41"/>
        <v>0.670349057340084</v>
      </c>
      <c r="R220" s="26">
        <v>20.31</v>
      </c>
      <c r="S220" s="5">
        <f t="shared" si="42"/>
        <v>0.8953861737350395</v>
      </c>
      <c r="T220" s="5">
        <f t="shared" si="43"/>
        <v>0.8225754429328407</v>
      </c>
      <c r="U220" s="5">
        <f>L220*(($O130/O220)-1)</f>
        <v>0.7509972906370406</v>
      </c>
      <c r="V220" s="5">
        <f t="shared" si="44"/>
        <v>0.6923054142728384</v>
      </c>
      <c r="W220" s="26">
        <f t="shared" si="45"/>
        <v>0.6523972335731067</v>
      </c>
    </row>
    <row r="221" spans="11:23" ht="18" customHeight="1">
      <c r="K221" s="32">
        <v>12</v>
      </c>
      <c r="L221">
        <v>2</v>
      </c>
      <c r="M221" s="12">
        <f t="shared" si="40"/>
        <v>0.6826737232693735</v>
      </c>
      <c r="N221" s="12">
        <f t="shared" si="40"/>
        <v>0.6783987080618245</v>
      </c>
      <c r="O221" s="12">
        <v>0.655772</v>
      </c>
      <c r="P221" s="12">
        <f t="shared" si="41"/>
        <v>0.6301462576509685</v>
      </c>
      <c r="Q221" s="12">
        <f t="shared" si="41"/>
        <v>0.6043473185104904</v>
      </c>
      <c r="R221" s="26">
        <v>20.16</v>
      </c>
      <c r="S221" s="5">
        <f t="shared" si="42"/>
        <v>0.9472953139728992</v>
      </c>
      <c r="T221" s="5">
        <f t="shared" si="43"/>
        <v>0.869229212769151</v>
      </c>
      <c r="U221" s="5">
        <f>L221*(($O131/O221)-1)</f>
        <v>0.7912475677522064</v>
      </c>
      <c r="V221" s="5">
        <f t="shared" si="44"/>
        <v>0.7157850341885008</v>
      </c>
      <c r="W221" s="26">
        <f t="shared" si="45"/>
        <v>0.67426604301372</v>
      </c>
    </row>
    <row r="222" spans="11:23" ht="18" customHeight="1">
      <c r="K222" s="32">
        <v>9</v>
      </c>
      <c r="L222">
        <v>2</v>
      </c>
      <c r="M222" s="12">
        <f t="shared" si="40"/>
        <v>0.46824620229368236</v>
      </c>
      <c r="N222" s="12">
        <f t="shared" si="40"/>
        <v>0.4712439167019106</v>
      </c>
      <c r="O222" s="12">
        <v>0.46551</v>
      </c>
      <c r="P222" s="12">
        <f t="shared" si="41"/>
        <v>0.44691547709805785</v>
      </c>
      <c r="Q222" s="12">
        <f t="shared" si="41"/>
        <v>0.4320918488379841</v>
      </c>
      <c r="R222" s="26">
        <v>17.68</v>
      </c>
      <c r="S222" s="5">
        <f t="shared" si="42"/>
        <v>1.1176881785204906</v>
      </c>
      <c r="T222" s="5">
        <f t="shared" si="43"/>
        <v>1.0087041063499442</v>
      </c>
      <c r="U222" s="5">
        <f>L222*((E$38/O222)-1)</f>
        <v>0.8989624283044404</v>
      </c>
      <c r="V222" s="5">
        <f t="shared" si="44"/>
        <v>0.8016564436440636</v>
      </c>
      <c r="W222" s="26">
        <f t="shared" si="45"/>
        <v>0.7434989677233115</v>
      </c>
    </row>
    <row r="223" spans="11:23" ht="18" customHeight="1">
      <c r="K223" s="32">
        <v>7</v>
      </c>
      <c r="L223">
        <v>2</v>
      </c>
      <c r="M223" s="12">
        <f t="shared" si="40"/>
        <v>0.3564696540646837</v>
      </c>
      <c r="N223" s="12">
        <f t="shared" si="40"/>
        <v>0.3590062267315101</v>
      </c>
      <c r="O223" s="12">
        <v>0.358783</v>
      </c>
      <c r="P223" s="12">
        <f t="shared" si="41"/>
        <v>0.35040245088413263</v>
      </c>
      <c r="Q223" s="12">
        <f t="shared" si="41"/>
        <v>0.338407653652914</v>
      </c>
      <c r="R223" s="26">
        <v>18.51</v>
      </c>
      <c r="S223" s="5">
        <f t="shared" si="42"/>
        <v>1.254620270731424</v>
      </c>
      <c r="T223" s="5">
        <f t="shared" si="43"/>
        <v>1.1326737024598201</v>
      </c>
      <c r="U223" s="5">
        <f>L223*((E$46/O223)-1)</f>
        <v>0.986155977289894</v>
      </c>
      <c r="V223" s="5">
        <f t="shared" si="44"/>
        <v>0.8681339660395828</v>
      </c>
      <c r="W223" s="26">
        <f t="shared" si="45"/>
        <v>0.7950230573266026</v>
      </c>
    </row>
    <row r="224" spans="11:23" ht="18" customHeight="1">
      <c r="K224" s="32">
        <v>6</v>
      </c>
      <c r="L224">
        <v>2</v>
      </c>
      <c r="M224" s="12">
        <f t="shared" si="40"/>
        <v>0.3088025402315436</v>
      </c>
      <c r="N224" s="12">
        <f t="shared" si="40"/>
        <v>0.31158530560537234</v>
      </c>
      <c r="O224" s="12">
        <v>0.31682</v>
      </c>
      <c r="P224" s="12">
        <f t="shared" si="41"/>
        <v>0.30748616265996853</v>
      </c>
      <c r="Q224" s="12">
        <f t="shared" si="41"/>
        <v>0.2992358197444241</v>
      </c>
      <c r="R224" s="26">
        <v>16.17</v>
      </c>
      <c r="S224" s="5">
        <f t="shared" si="42"/>
        <v>1.3301919805785962</v>
      </c>
      <c r="T224" s="5">
        <f t="shared" si="43"/>
        <v>1.1986846463480298</v>
      </c>
      <c r="U224" s="5">
        <f>L224*((E$54/O224)-1)</f>
        <v>1.028659806830377</v>
      </c>
      <c r="V224" s="5">
        <f t="shared" si="44"/>
        <v>0.9011664999619051</v>
      </c>
      <c r="W224" s="26">
        <f t="shared" si="45"/>
        <v>0.8149213302490796</v>
      </c>
    </row>
    <row r="225" spans="11:23" ht="18" customHeight="1">
      <c r="K225" s="32">
        <v>3</v>
      </c>
      <c r="L225">
        <v>2</v>
      </c>
      <c r="M225" s="12">
        <f t="shared" si="40"/>
        <v>0.1941214840296869</v>
      </c>
      <c r="N225" s="12">
        <f t="shared" si="40"/>
        <v>0.20136089507767513</v>
      </c>
      <c r="O225" s="12">
        <v>0.206674</v>
      </c>
      <c r="P225" s="12">
        <f t="shared" si="41"/>
        <v>0.20616802346611657</v>
      </c>
      <c r="Q225" s="12">
        <f t="shared" si="41"/>
        <v>0.19954904361880257</v>
      </c>
      <c r="R225" s="26">
        <v>15.03</v>
      </c>
      <c r="S225" s="5">
        <f t="shared" si="42"/>
        <v>1.6342414924507498</v>
      </c>
      <c r="T225" s="5">
        <f t="shared" si="43"/>
        <v>1.4278042738618395</v>
      </c>
      <c r="U225" s="5">
        <f>L225*((E$62/O225)-1)</f>
        <v>1.188267513088245</v>
      </c>
      <c r="V225" s="5">
        <f t="shared" si="44"/>
        <v>0.9991565867326773</v>
      </c>
      <c r="W225" s="26">
        <f t="shared" si="45"/>
        <v>0.8883874753543899</v>
      </c>
    </row>
    <row r="226" spans="11:23" ht="18" customHeight="1">
      <c r="K226" s="32">
        <v>0</v>
      </c>
      <c r="L226">
        <v>2</v>
      </c>
      <c r="M226" s="12">
        <f t="shared" si="40"/>
        <v>0.11588779782821138</v>
      </c>
      <c r="N226" s="12">
        <f t="shared" si="40"/>
        <v>0.12356750683955435</v>
      </c>
      <c r="O226" s="12">
        <v>0.130539</v>
      </c>
      <c r="P226" s="12">
        <f t="shared" si="41"/>
        <v>0.13309106445384072</v>
      </c>
      <c r="Q226" s="12">
        <f t="shared" si="41"/>
        <v>0.13049723084581327</v>
      </c>
      <c r="R226" s="26">
        <v>14.39</v>
      </c>
      <c r="S226" s="5">
        <f t="shared" si="42"/>
        <v>2.126355679325287</v>
      </c>
      <c r="T226" s="5">
        <f t="shared" si="43"/>
        <v>1.751546639805532</v>
      </c>
      <c r="U226" s="5">
        <f>L226*((E$70/O226)-1)</f>
        <v>1.3835865143750148</v>
      </c>
      <c r="V226" s="5">
        <f t="shared" si="44"/>
        <v>1.107040879956529</v>
      </c>
      <c r="W226" s="26">
        <f t="shared" si="45"/>
        <v>0.9566954525777467</v>
      </c>
    </row>
    <row r="227" spans="11:23" ht="18" customHeight="1">
      <c r="K227" s="32">
        <v>-3</v>
      </c>
      <c r="L227">
        <v>2</v>
      </c>
      <c r="M227" s="12">
        <f t="shared" si="40"/>
        <v>0.0655013246428547</v>
      </c>
      <c r="N227" s="12">
        <f t="shared" si="40"/>
        <v>0.07318971952627842</v>
      </c>
      <c r="O227" s="12">
        <v>0.08077</v>
      </c>
      <c r="P227" s="12">
        <f t="shared" si="41"/>
        <v>0.08444036130001635</v>
      </c>
      <c r="Q227" s="12">
        <f t="shared" si="41"/>
        <v>0.0832817961094937</v>
      </c>
      <c r="R227" s="26">
        <v>12.9</v>
      </c>
      <c r="S227" s="5">
        <f t="shared" si="42"/>
        <v>2.9415366478471485</v>
      </c>
      <c r="T227" s="5">
        <f t="shared" si="43"/>
        <v>2.238986374109559</v>
      </c>
      <c r="U227" s="5">
        <f>L227*((E$78/O227)-1)</f>
        <v>1.64722050266188</v>
      </c>
      <c r="V227" s="5">
        <f t="shared" si="44"/>
        <v>1.2431125480413723</v>
      </c>
      <c r="W227" s="26">
        <f t="shared" si="45"/>
        <v>1.0392191747528639</v>
      </c>
    </row>
    <row r="228" spans="11:23" ht="18" customHeight="1">
      <c r="K228" s="32">
        <v>-8</v>
      </c>
      <c r="L228">
        <v>2</v>
      </c>
      <c r="M228" s="12">
        <f t="shared" si="40"/>
        <v>0.020900183827617394</v>
      </c>
      <c r="N228" s="12">
        <f t="shared" si="40"/>
        <v>0.026410006287657193</v>
      </c>
      <c r="O228" s="12">
        <v>0.033655</v>
      </c>
      <c r="P228" s="12">
        <f t="shared" si="41"/>
        <v>0.037129936935675574</v>
      </c>
      <c r="Q228" s="12">
        <f t="shared" si="41"/>
        <v>0.03645166726064127</v>
      </c>
      <c r="R228" s="26">
        <v>11.74</v>
      </c>
      <c r="S228" s="5">
        <f t="shared" si="42"/>
        <v>5.676694742784982</v>
      </c>
      <c r="T228" s="5">
        <f t="shared" si="43"/>
        <v>3.711932675301923</v>
      </c>
      <c r="U228" s="5">
        <f>L228*((E$86/O228)-1)</f>
        <v>2.221363838954093</v>
      </c>
      <c r="V228" s="5">
        <f t="shared" si="44"/>
        <v>1.4871791671946024</v>
      </c>
      <c r="W228" s="26">
        <f t="shared" si="45"/>
        <v>1.164727770508811</v>
      </c>
    </row>
    <row r="229" spans="11:23" ht="18" customHeight="1">
      <c r="K229" s="32">
        <v>-12</v>
      </c>
      <c r="L229">
        <v>2</v>
      </c>
      <c r="M229" s="12">
        <f t="shared" si="40"/>
        <v>0.006946760546534957</v>
      </c>
      <c r="N229" s="12">
        <f t="shared" si="40"/>
        <v>0.010748362240669673</v>
      </c>
      <c r="O229" s="12">
        <v>0.015363</v>
      </c>
      <c r="P229" s="12">
        <f t="shared" si="41"/>
        <v>0.017352675815870407</v>
      </c>
      <c r="Q229" s="12">
        <f t="shared" si="41"/>
        <v>0.017835006401415218</v>
      </c>
      <c r="R229" s="26">
        <v>11.59</v>
      </c>
      <c r="S229" s="5">
        <f t="shared" si="42"/>
        <v>9.979475004861586</v>
      </c>
      <c r="T229" s="5">
        <f t="shared" si="43"/>
        <v>5.388962709140155</v>
      </c>
      <c r="U229" s="5">
        <f>L229*((E$94/O229)-1)</f>
        <v>2.747900800624879</v>
      </c>
      <c r="V229" s="5">
        <f t="shared" si="44"/>
        <v>1.6693336305970083</v>
      </c>
      <c r="W229" s="26">
        <f t="shared" si="45"/>
        <v>1.2359387463595843</v>
      </c>
    </row>
    <row r="230" spans="11:23" ht="18" customHeight="1">
      <c r="K230" s="32">
        <v>-17</v>
      </c>
      <c r="L230">
        <v>2</v>
      </c>
      <c r="M230" s="12">
        <f t="shared" si="40"/>
        <v>0.0018862563447086128</v>
      </c>
      <c r="N230" s="12">
        <f t="shared" si="40"/>
        <v>0.00359664704549057</v>
      </c>
      <c r="O230" s="12">
        <v>0.005688</v>
      </c>
      <c r="P230" s="12">
        <f t="shared" si="41"/>
        <v>0.006785501470391847</v>
      </c>
      <c r="Q230" s="12">
        <f t="shared" si="41"/>
        <v>0.007096599292066509</v>
      </c>
      <c r="R230" s="26">
        <v>12.79</v>
      </c>
      <c r="S230" s="5">
        <f t="shared" si="42"/>
        <v>16.784055466901755</v>
      </c>
      <c r="T230" s="5">
        <f t="shared" si="43"/>
        <v>7.233811000475626</v>
      </c>
      <c r="U230" s="5">
        <f>L230*((E$102/O230)-1)</f>
        <v>3.256680731364275</v>
      </c>
      <c r="V230" s="5">
        <f t="shared" si="44"/>
        <v>1.798984925614696</v>
      </c>
      <c r="W230" s="26">
        <f t="shared" si="45"/>
        <v>1.2808210637168176</v>
      </c>
    </row>
    <row r="231" spans="11:23" ht="18" customHeight="1" thickBot="1">
      <c r="K231" s="32">
        <v>-20</v>
      </c>
      <c r="L231">
        <v>2</v>
      </c>
      <c r="M231" s="12">
        <f t="shared" si="40"/>
        <v>0.0010729241057104279</v>
      </c>
      <c r="N231" s="12">
        <f t="shared" si="40"/>
        <v>0.002077674692626644</v>
      </c>
      <c r="O231" s="12">
        <v>0.003315</v>
      </c>
      <c r="P231" s="12">
        <f t="shared" si="41"/>
        <v>0.003998862987299823</v>
      </c>
      <c r="Q231" s="12">
        <f t="shared" si="41"/>
        <v>0.0046531653989150545</v>
      </c>
      <c r="R231" s="26">
        <v>11.7</v>
      </c>
      <c r="S231" s="5">
        <f t="shared" si="42"/>
        <v>18.707132163595972</v>
      </c>
      <c r="T231" s="5">
        <f t="shared" si="43"/>
        <v>7.7252610880357615</v>
      </c>
      <c r="U231" s="5">
        <f>L231*((E$110/O231)-1)</f>
        <v>3.4401206636500765</v>
      </c>
      <c r="V231" s="5">
        <f t="shared" si="44"/>
        <v>1.836351742092265</v>
      </c>
      <c r="W231" s="26">
        <f t="shared" si="45"/>
        <v>1.2876074904574746</v>
      </c>
    </row>
    <row r="232" spans="11:23" ht="37.5" customHeight="1" thickBot="1" thickTop="1">
      <c r="K232" s="82"/>
      <c r="L232" s="15"/>
      <c r="M232" s="16" t="s">
        <v>30</v>
      </c>
      <c r="N232" s="16" t="s">
        <v>33</v>
      </c>
      <c r="O232" s="17" t="s">
        <v>6</v>
      </c>
      <c r="P232" s="16" t="s">
        <v>31</v>
      </c>
      <c r="Q232" s="16" t="s">
        <v>32</v>
      </c>
      <c r="R232" s="27"/>
      <c r="S232" s="16" t="s">
        <v>34</v>
      </c>
      <c r="T232" s="16" t="s">
        <v>35</v>
      </c>
      <c r="U232" s="16" t="s">
        <v>36</v>
      </c>
      <c r="V232" s="16" t="s">
        <v>37</v>
      </c>
      <c r="W232" s="84" t="s">
        <v>38</v>
      </c>
    </row>
    <row r="233" spans="11:23" ht="18" customHeight="1" thickTop="1">
      <c r="K233" s="32">
        <v>18</v>
      </c>
      <c r="L233">
        <v>1</v>
      </c>
      <c r="M233" s="12">
        <f aca="true" t="shared" si="46" ref="M233:N246">$O111*10^(M111/$R111)</f>
        <v>1.0750943578680117</v>
      </c>
      <c r="N233" s="12">
        <f t="shared" si="46"/>
        <v>1.047218212837915</v>
      </c>
      <c r="O233" s="12">
        <v>0.99885</v>
      </c>
      <c r="P233" s="12">
        <f aca="true" t="shared" si="47" ref="P233:Q246">$O111*10^(P111/$R111)</f>
        <v>0.9447985109210311</v>
      </c>
      <c r="Q233" s="12">
        <f t="shared" si="47"/>
        <v>0.8646900327720708</v>
      </c>
      <c r="R233" s="26">
        <v>22.35</v>
      </c>
      <c r="S233" s="5">
        <f aca="true" t="shared" si="48" ref="S233:S245">$L233*((M128/M233)-1)</f>
        <v>0.6410663265859342</v>
      </c>
      <c r="T233" s="5">
        <f aca="true" t="shared" si="49" ref="T233:T246">$L233*((N128/N233)-1)</f>
        <v>0.6181982418517833</v>
      </c>
      <c r="U233" s="5">
        <f>L233*((E$6/O233)-1)</f>
        <v>0.5942333683736296</v>
      </c>
      <c r="V233" s="5">
        <f aca="true" t="shared" si="50" ref="V233:V246">$L233*((P128/P233)-1)</f>
        <v>0.5725846573730766</v>
      </c>
      <c r="W233" s="26">
        <f aca="true" t="shared" si="51" ref="W233:W246">$L233*((Q128/Q233)-1)</f>
        <v>0.5651921723272901</v>
      </c>
    </row>
    <row r="234" spans="11:23" ht="18" customHeight="1">
      <c r="K234" s="32">
        <v>15</v>
      </c>
      <c r="L234">
        <v>1</v>
      </c>
      <c r="M234" s="12">
        <f t="shared" si="46"/>
        <v>0.7694686972565716</v>
      </c>
      <c r="N234" s="12">
        <f t="shared" si="46"/>
        <v>0.7587793511091022</v>
      </c>
      <c r="O234" s="12">
        <v>0.73328</v>
      </c>
      <c r="P234" s="12">
        <f t="shared" si="47"/>
        <v>0.6925148259270045</v>
      </c>
      <c r="Q234" s="12">
        <f t="shared" si="47"/>
        <v>0.6702245848275747</v>
      </c>
      <c r="R234" s="26">
        <v>20.41</v>
      </c>
      <c r="S234" s="5">
        <f t="shared" si="48"/>
        <v>0.7629071807167789</v>
      </c>
      <c r="T234" s="5">
        <f t="shared" si="49"/>
        <v>0.7158666410811358</v>
      </c>
      <c r="U234" s="5">
        <f>L234*((E$15/O234)-1)</f>
        <v>0.6637573641719396</v>
      </c>
      <c r="V234" s="5">
        <f t="shared" si="50"/>
        <v>0.6323666203809024</v>
      </c>
      <c r="W234" s="26">
        <f t="shared" si="51"/>
        <v>0.6044403984989779</v>
      </c>
    </row>
    <row r="235" spans="11:23" ht="18" customHeight="1">
      <c r="K235" s="32">
        <v>13</v>
      </c>
      <c r="L235">
        <v>1</v>
      </c>
      <c r="M235" s="12">
        <f t="shared" si="46"/>
        <v>0.604078701304491</v>
      </c>
      <c r="N235" s="12">
        <f t="shared" si="46"/>
        <v>0.6013838706980831</v>
      </c>
      <c r="O235" s="12">
        <v>0.58519</v>
      </c>
      <c r="P235" s="12">
        <f t="shared" si="47"/>
        <v>0.5615148941049882</v>
      </c>
      <c r="Q235" s="12">
        <f t="shared" si="47"/>
        <v>0.5418491524499506</v>
      </c>
      <c r="R235" s="26">
        <v>19.57</v>
      </c>
      <c r="S235" s="5">
        <f t="shared" si="48"/>
        <v>0.8439789718727255</v>
      </c>
      <c r="T235" s="5">
        <f t="shared" si="49"/>
        <v>0.7859150696864288</v>
      </c>
      <c r="U235" s="5">
        <f>L235*((E$22/O235)-1)</f>
        <v>0.7264307318990413</v>
      </c>
      <c r="V235" s="5">
        <f t="shared" si="50"/>
        <v>0.6751539704070639</v>
      </c>
      <c r="W235" s="26">
        <f t="shared" si="51"/>
        <v>0.6407075448746886</v>
      </c>
    </row>
    <row r="236" spans="11:23" ht="18" customHeight="1">
      <c r="K236" s="32">
        <v>12</v>
      </c>
      <c r="L236">
        <v>1</v>
      </c>
      <c r="M236" s="12">
        <f t="shared" si="46"/>
        <v>0.5338085471019143</v>
      </c>
      <c r="N236" s="12">
        <f t="shared" si="46"/>
        <v>0.5338085471019143</v>
      </c>
      <c r="O236" s="12">
        <v>0.520229</v>
      </c>
      <c r="P236" s="12">
        <f t="shared" si="47"/>
        <v>0.5034714468227249</v>
      </c>
      <c r="Q236" s="12">
        <f t="shared" si="47"/>
        <v>0.48667808002806867</v>
      </c>
      <c r="R236" s="26">
        <v>19.48</v>
      </c>
      <c r="S236" s="5">
        <f t="shared" si="48"/>
        <v>0.8846092634595069</v>
      </c>
      <c r="T236" s="5">
        <f t="shared" si="49"/>
        <v>0.8232017842758679</v>
      </c>
      <c r="U236" s="5">
        <f>L236*((E$30/O236)-1)</f>
        <v>0.7592464087930506</v>
      </c>
      <c r="V236" s="5">
        <f t="shared" si="50"/>
        <v>0.6995420362745657</v>
      </c>
      <c r="W236" s="26">
        <f t="shared" si="51"/>
        <v>0.6604256267159079</v>
      </c>
    </row>
    <row r="237" spans="11:23" ht="18" customHeight="1">
      <c r="K237" s="32">
        <v>9</v>
      </c>
      <c r="L237">
        <v>1</v>
      </c>
      <c r="M237" s="12">
        <f t="shared" si="46"/>
        <v>0.36251720429182616</v>
      </c>
      <c r="N237" s="12">
        <f t="shared" si="46"/>
        <v>0.3666288033100172</v>
      </c>
      <c r="O237" s="12">
        <v>0.36491</v>
      </c>
      <c r="P237" s="12">
        <f t="shared" si="47"/>
        <v>0.35367125141527295</v>
      </c>
      <c r="Q237" s="12">
        <f t="shared" si="47"/>
        <v>0.34434696579918045</v>
      </c>
      <c r="R237" s="26">
        <v>17.15</v>
      </c>
      <c r="S237" s="5">
        <f t="shared" si="48"/>
        <v>1.013484646032072</v>
      </c>
      <c r="T237" s="5">
        <f t="shared" si="49"/>
        <v>0.9336089997197596</v>
      </c>
      <c r="U237" s="5">
        <f>L237*((E$38/O237)-1)</f>
        <v>0.8490805952152585</v>
      </c>
      <c r="V237" s="5">
        <f t="shared" si="50"/>
        <v>0.7701518305001307</v>
      </c>
      <c r="W237" s="26">
        <f t="shared" si="51"/>
        <v>0.7212922705699183</v>
      </c>
    </row>
    <row r="238" spans="11:23" ht="18" customHeight="1">
      <c r="K238" s="32">
        <v>7</v>
      </c>
      <c r="L238">
        <v>1</v>
      </c>
      <c r="M238" s="12">
        <f t="shared" si="46"/>
        <v>0.27413765248960653</v>
      </c>
      <c r="N238" s="12">
        <f t="shared" si="46"/>
        <v>0.27704917403670437</v>
      </c>
      <c r="O238" s="12">
        <v>0.27896</v>
      </c>
      <c r="P238" s="12">
        <f t="shared" si="47"/>
        <v>0.2752565248779369</v>
      </c>
      <c r="Q238" s="12">
        <f t="shared" si="47"/>
        <v>0.26792820883075436</v>
      </c>
      <c r="R238" s="26">
        <v>18.09</v>
      </c>
      <c r="S238" s="5">
        <f t="shared" si="48"/>
        <v>1.116041615377012</v>
      </c>
      <c r="T238" s="5">
        <f t="shared" si="49"/>
        <v>1.0296926879704977</v>
      </c>
      <c r="U238" s="5">
        <f>L238*((E$46/O238)-1)</f>
        <v>0.9203147404645828</v>
      </c>
      <c r="V238" s="5">
        <f t="shared" si="50"/>
        <v>0.8255719307834164</v>
      </c>
      <c r="W238" s="26">
        <f t="shared" si="51"/>
        <v>0.7651317844870364</v>
      </c>
    </row>
    <row r="239" spans="11:23" ht="18" customHeight="1">
      <c r="K239" s="32">
        <v>6</v>
      </c>
      <c r="L239">
        <v>1</v>
      </c>
      <c r="M239" s="12">
        <f t="shared" si="46"/>
        <v>0.23668842303364282</v>
      </c>
      <c r="N239" s="12">
        <f t="shared" si="46"/>
        <v>0.2396204773080451</v>
      </c>
      <c r="O239" s="12">
        <v>0.24563</v>
      </c>
      <c r="P239" s="12">
        <f t="shared" si="47"/>
        <v>0.24064114586601934</v>
      </c>
      <c r="Q239" s="12">
        <f t="shared" si="47"/>
        <v>0.2360994105534611</v>
      </c>
      <c r="R239" s="26">
        <v>15.71</v>
      </c>
      <c r="S239" s="5">
        <f t="shared" si="48"/>
        <v>1.1724166519864245</v>
      </c>
      <c r="T239" s="5">
        <f t="shared" si="49"/>
        <v>1.0796702023640052</v>
      </c>
      <c r="U239" s="5">
        <f>L239*((E$54/O239)-1)</f>
        <v>0.9532223262630786</v>
      </c>
      <c r="V239" s="5">
        <f t="shared" si="50"/>
        <v>0.8535245730744876</v>
      </c>
      <c r="W239" s="26">
        <f t="shared" si="51"/>
        <v>0.783836075233268</v>
      </c>
    </row>
    <row r="240" spans="11:23" ht="18" customHeight="1">
      <c r="K240" s="32">
        <v>3</v>
      </c>
      <c r="L240">
        <v>1</v>
      </c>
      <c r="M240" s="12">
        <f t="shared" si="46"/>
        <v>0.14680575111631747</v>
      </c>
      <c r="N240" s="12">
        <f t="shared" si="46"/>
        <v>0.15279544311397028</v>
      </c>
      <c r="O240" s="12">
        <v>0.158224</v>
      </c>
      <c r="P240" s="12">
        <f t="shared" si="47"/>
        <v>0.1595350434324605</v>
      </c>
      <c r="Q240" s="12">
        <f t="shared" si="47"/>
        <v>0.1559555457062113</v>
      </c>
      <c r="R240" s="26">
        <v>14.51</v>
      </c>
      <c r="S240" s="5">
        <f t="shared" si="48"/>
        <v>1.4027817250763994</v>
      </c>
      <c r="T240" s="5">
        <f t="shared" si="49"/>
        <v>1.2586594294604065</v>
      </c>
      <c r="U240" s="5">
        <f>L240*((E$62/O240)-1)</f>
        <v>1.082275760946506</v>
      </c>
      <c r="V240" s="5">
        <f t="shared" si="50"/>
        <v>0.937913364513647</v>
      </c>
      <c r="W240" s="26">
        <f t="shared" si="51"/>
        <v>0.847882214439716</v>
      </c>
    </row>
    <row r="241" spans="11:23" ht="18" customHeight="1">
      <c r="K241" s="32">
        <v>0</v>
      </c>
      <c r="L241">
        <v>1</v>
      </c>
      <c r="M241" s="12">
        <f t="shared" si="46"/>
        <v>0.08573786882065199</v>
      </c>
      <c r="N241" s="12">
        <f t="shared" si="46"/>
        <v>0.09198737793601636</v>
      </c>
      <c r="O241" s="12">
        <v>0.098278</v>
      </c>
      <c r="P241" s="12">
        <f t="shared" si="47"/>
        <v>0.10165980967049013</v>
      </c>
      <c r="Q241" s="12">
        <f t="shared" si="47"/>
        <v>0.1009606681992837</v>
      </c>
      <c r="R241" s="26">
        <v>13.68</v>
      </c>
      <c r="S241" s="5">
        <f t="shared" si="48"/>
        <v>1.7886993186944968</v>
      </c>
      <c r="T241" s="5">
        <f t="shared" si="49"/>
        <v>1.519743879402248</v>
      </c>
      <c r="U241" s="5">
        <f>L241*((E$70/O241)-1)</f>
        <v>1.247145851563931</v>
      </c>
      <c r="V241" s="5">
        <f t="shared" si="50"/>
        <v>1.0338390331211147</v>
      </c>
      <c r="W241" s="26">
        <f t="shared" si="51"/>
        <v>0.9108459556458344</v>
      </c>
    </row>
    <row r="242" spans="11:23" ht="18" customHeight="1">
      <c r="K242" s="32">
        <v>-3</v>
      </c>
      <c r="L242">
        <v>1</v>
      </c>
      <c r="M242" s="12">
        <f t="shared" si="46"/>
        <v>0.04665453025750215</v>
      </c>
      <c r="N242" s="12">
        <f t="shared" si="46"/>
        <v>0.052782969703629175</v>
      </c>
      <c r="O242" s="12">
        <v>0.059319</v>
      </c>
      <c r="P242" s="12">
        <f t="shared" si="47"/>
        <v>0.06335688565124083</v>
      </c>
      <c r="Q242" s="12">
        <f t="shared" si="47"/>
        <v>0.06357609091807101</v>
      </c>
      <c r="R242" s="26">
        <v>12.2</v>
      </c>
      <c r="S242" s="5">
        <f t="shared" si="48"/>
        <v>2.468872094721734</v>
      </c>
      <c r="T242" s="5">
        <f t="shared" si="49"/>
        <v>1.9389235347955691</v>
      </c>
      <c r="U242" s="5">
        <f>L242*((E$78/O242)-1)</f>
        <v>1.4830661339537081</v>
      </c>
      <c r="V242" s="5">
        <f t="shared" si="50"/>
        <v>1.1611667972498174</v>
      </c>
      <c r="W242" s="26">
        <f t="shared" si="51"/>
        <v>0.9906196495315402</v>
      </c>
    </row>
    <row r="243" spans="11:23" ht="18" customHeight="1">
      <c r="K243" s="32">
        <v>-8</v>
      </c>
      <c r="L243">
        <v>1</v>
      </c>
      <c r="M243" s="12">
        <f t="shared" si="46"/>
        <v>0.013350287286605651</v>
      </c>
      <c r="N243" s="12">
        <f t="shared" si="46"/>
        <v>0.017454816754783505</v>
      </c>
      <c r="O243" s="12">
        <v>0.023347</v>
      </c>
      <c r="P243" s="12">
        <f t="shared" si="47"/>
        <v>0.02687773129281199</v>
      </c>
      <c r="Q243" s="12">
        <f t="shared" si="47"/>
        <v>0.027188392656360014</v>
      </c>
      <c r="R243" s="26">
        <v>11.02</v>
      </c>
      <c r="S243" s="5">
        <f t="shared" si="48"/>
        <v>5.009021673776415</v>
      </c>
      <c r="T243" s="5">
        <f t="shared" si="49"/>
        <v>3.321219179458221</v>
      </c>
      <c r="U243" s="5">
        <f>L243*((E$86/O243)-1)</f>
        <v>2.042575063177282</v>
      </c>
      <c r="V243" s="5">
        <f t="shared" si="50"/>
        <v>1.4086620472309774</v>
      </c>
      <c r="W243" s="26">
        <f t="shared" si="51"/>
        <v>1.1214862739249303</v>
      </c>
    </row>
    <row r="244" spans="11:23" ht="18" customHeight="1">
      <c r="K244" s="32">
        <v>-12</v>
      </c>
      <c r="L244">
        <v>1</v>
      </c>
      <c r="M244" s="12">
        <f t="shared" si="46"/>
        <v>0.0039800559994606615</v>
      </c>
      <c r="N244" s="12">
        <f t="shared" si="46"/>
        <v>0.006543167051949377</v>
      </c>
      <c r="O244" s="12">
        <v>0.010123</v>
      </c>
      <c r="P244" s="12">
        <f t="shared" si="47"/>
        <v>0.012204492240891427</v>
      </c>
      <c r="Q244" s="12">
        <f t="shared" si="47"/>
        <v>0.013087961811895272</v>
      </c>
      <c r="R244" s="26">
        <v>11.07</v>
      </c>
      <c r="S244" s="5">
        <f t="shared" si="48"/>
        <v>9.454443900192746</v>
      </c>
      <c r="T244" s="5">
        <f t="shared" si="49"/>
        <v>5.068869031624166</v>
      </c>
      <c r="U244" s="5">
        <f>L244*((E$94/O244)-1)</f>
        <v>2.6027857354539172</v>
      </c>
      <c r="V244" s="5">
        <f t="shared" si="50"/>
        <v>1.6085786977144223</v>
      </c>
      <c r="W244" s="26">
        <f t="shared" si="51"/>
        <v>1.2048119136264996</v>
      </c>
    </row>
    <row r="245" spans="11:23" ht="18" customHeight="1">
      <c r="K245" s="32">
        <v>-17</v>
      </c>
      <c r="L245">
        <v>1</v>
      </c>
      <c r="M245" s="12">
        <f t="shared" si="46"/>
        <v>0.0010023951118081269</v>
      </c>
      <c r="N245" s="12">
        <f t="shared" si="46"/>
        <v>0.0020682305086216985</v>
      </c>
      <c r="O245" s="12">
        <v>0.003577</v>
      </c>
      <c r="P245" s="12">
        <f t="shared" si="47"/>
        <v>0.004662715744519256</v>
      </c>
      <c r="Q245" s="12">
        <f t="shared" si="47"/>
        <v>0.005144686792579059</v>
      </c>
      <c r="R245" s="26">
        <v>12.5</v>
      </c>
      <c r="S245" s="5">
        <f t="shared" si="48"/>
        <v>16.673442032199404</v>
      </c>
      <c r="T245" s="5">
        <f t="shared" si="49"/>
        <v>7.028785697492481</v>
      </c>
      <c r="U245" s="5">
        <f>L245*((E$102/O245)-1)</f>
        <v>3.179480011182555</v>
      </c>
      <c r="V245" s="5">
        <f t="shared" si="50"/>
        <v>1.7642707824356982</v>
      </c>
      <c r="W245" s="26">
        <f t="shared" si="51"/>
        <v>1.2627881323848222</v>
      </c>
    </row>
    <row r="246" spans="11:23" ht="18" customHeight="1" thickBot="1">
      <c r="K246" s="33">
        <v>-20</v>
      </c>
      <c r="L246" s="34">
        <v>1</v>
      </c>
      <c r="M246" s="35">
        <f t="shared" si="46"/>
        <v>0.0005597663324171956</v>
      </c>
      <c r="N246" s="35">
        <f t="shared" si="46"/>
        <v>0.0011626872613967453</v>
      </c>
      <c r="O246" s="35">
        <v>0.002058</v>
      </c>
      <c r="P246" s="35">
        <f t="shared" si="47"/>
        <v>0.0027223038571231764</v>
      </c>
      <c r="Q246" s="35">
        <f t="shared" si="47"/>
        <v>0.003355259171608689</v>
      </c>
      <c r="R246" s="37">
        <v>11.4</v>
      </c>
      <c r="S246" s="38">
        <f>$L246*((M141/M246)-1)</f>
        <v>18.845049596422772</v>
      </c>
      <c r="T246" s="38">
        <f t="shared" si="49"/>
        <v>7.689322362371554</v>
      </c>
      <c r="U246" s="38">
        <f>L246*((E$110/O246)-1)</f>
        <v>3.3814382896015553</v>
      </c>
      <c r="V246" s="38">
        <f t="shared" si="50"/>
        <v>1.8176584600529804</v>
      </c>
      <c r="W246" s="37">
        <f t="shared" si="51"/>
        <v>1.2796720964592594</v>
      </c>
    </row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</sheetData>
  <mergeCells count="10">
    <mergeCell ref="C1:P1"/>
    <mergeCell ref="A119:G119"/>
    <mergeCell ref="B120:G120"/>
    <mergeCell ref="B121:G121"/>
    <mergeCell ref="B124:G124"/>
    <mergeCell ref="M126:Q126"/>
    <mergeCell ref="C4:G4"/>
    <mergeCell ref="M4:Q4"/>
    <mergeCell ref="B122:G122"/>
    <mergeCell ref="B123:G123"/>
  </mergeCells>
  <printOptions gridLines="1"/>
  <pageMargins left="0" right="0" top="0.25" bottom="0.5" header="0" footer="0.5"/>
  <pageSetup fitToHeight="49" fitToWidth="1" horizontalDpi="600" verticalDpi="600" orientation="landscape" scale="45" r:id="rId2"/>
  <headerFooter alignWithMargins="0">
    <oddFooter>&amp;L&amp;F&amp;C&amp;T
&amp;A&amp;R&amp;A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25" zoomScaleNormal="25" workbookViewId="0" topLeftCell="A1">
      <selection activeCell="X43" sqref="A1:X43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7" width="9.140625" style="3" customWidth="1"/>
    <col min="8" max="8" width="11.140625" style="3" customWidth="1"/>
    <col min="9" max="9" width="10.140625" style="3" customWidth="1"/>
    <col min="10" max="12" width="9.140625" style="3" customWidth="1"/>
    <col min="13" max="13" width="10.28125" style="3" customWidth="1"/>
    <col min="14" max="14" width="9.140625" style="3" customWidth="1"/>
    <col min="15" max="15" width="10.421875" style="3" customWidth="1"/>
    <col min="16" max="16" width="12.00390625" style="3" customWidth="1"/>
    <col min="17" max="20" width="9.140625" style="3" customWidth="1"/>
    <col min="21" max="21" width="14.421875" style="3" customWidth="1"/>
    <col min="22" max="22" width="16.00390625" style="3" customWidth="1"/>
    <col min="23" max="16384" width="9.140625" style="3" customWidth="1"/>
  </cols>
  <sheetData>
    <row r="1" spans="15:22" ht="55.5" customHeight="1" thickBot="1" thickTop="1">
      <c r="O1" s="9" t="s">
        <v>0</v>
      </c>
      <c r="P1" s="10" t="s">
        <v>2</v>
      </c>
      <c r="Q1" s="229" t="s">
        <v>84</v>
      </c>
      <c r="R1" s="230"/>
      <c r="S1" s="230"/>
      <c r="T1" s="230"/>
      <c r="U1" s="231"/>
      <c r="V1" s="11" t="s">
        <v>12</v>
      </c>
    </row>
    <row r="2" spans="1:22" s="2" customFormat="1" ht="40.5" customHeight="1" thickBot="1">
      <c r="A2" s="203" t="s">
        <v>60</v>
      </c>
      <c r="B2" s="60" t="s">
        <v>90</v>
      </c>
      <c r="C2" s="59" t="s">
        <v>30</v>
      </c>
      <c r="D2" s="60" t="s">
        <v>33</v>
      </c>
      <c r="E2" s="60" t="s">
        <v>6</v>
      </c>
      <c r="F2" s="60" t="s">
        <v>31</v>
      </c>
      <c r="G2" s="62" t="s">
        <v>32</v>
      </c>
      <c r="H2" s="60" t="s">
        <v>49</v>
      </c>
      <c r="I2" s="59" t="s">
        <v>86</v>
      </c>
      <c r="J2" s="60" t="s">
        <v>85</v>
      </c>
      <c r="K2" s="60" t="s">
        <v>87</v>
      </c>
      <c r="L2" s="60" t="s">
        <v>88</v>
      </c>
      <c r="M2" s="204" t="s">
        <v>89</v>
      </c>
      <c r="O2" s="6" t="s">
        <v>1</v>
      </c>
      <c r="P2" s="7" t="s">
        <v>3</v>
      </c>
      <c r="Q2" s="7" t="s">
        <v>27</v>
      </c>
      <c r="R2" s="7" t="s">
        <v>24</v>
      </c>
      <c r="S2" s="7" t="s">
        <v>9</v>
      </c>
      <c r="T2" s="7" t="s">
        <v>26</v>
      </c>
      <c r="U2" s="7" t="s">
        <v>25</v>
      </c>
      <c r="V2" s="8" t="s">
        <v>5</v>
      </c>
    </row>
    <row r="3" spans="1:22" ht="13.5" thickTop="1">
      <c r="A3" s="194">
        <v>18</v>
      </c>
      <c r="B3" s="22">
        <v>5</v>
      </c>
      <c r="C3" s="191">
        <v>1.5608401058921824</v>
      </c>
      <c r="D3" s="20">
        <v>1.5053710210132492</v>
      </c>
      <c r="E3" s="20">
        <v>1.4204</v>
      </c>
      <c r="F3" s="20">
        <v>1.3306354953880253</v>
      </c>
      <c r="G3" s="192">
        <v>1.2144144362565408</v>
      </c>
      <c r="H3" s="22">
        <v>24.69</v>
      </c>
      <c r="I3" s="193">
        <v>0.6517677305300928</v>
      </c>
      <c r="J3" s="190">
        <v>0.6285349166242715</v>
      </c>
      <c r="K3" s="190">
        <v>0.6054632497887913</v>
      </c>
      <c r="L3" s="190">
        <v>0.582955090755628</v>
      </c>
      <c r="M3" s="195">
        <v>0.5722578321622118</v>
      </c>
      <c r="O3" s="86">
        <v>18</v>
      </c>
      <c r="P3" s="64">
        <v>10000</v>
      </c>
      <c r="Q3" s="85">
        <v>1.7643011485997218</v>
      </c>
      <c r="R3" s="85">
        <v>1.6946066708494807</v>
      </c>
      <c r="S3" s="85">
        <v>1.5924</v>
      </c>
      <c r="T3" s="85">
        <v>1.4857756425833426</v>
      </c>
      <c r="U3" s="85">
        <v>1.3534060707842732</v>
      </c>
      <c r="V3" s="65">
        <v>26.28</v>
      </c>
    </row>
    <row r="4" spans="1:22" ht="12.75">
      <c r="A4" s="194">
        <v>15</v>
      </c>
      <c r="B4" s="22">
        <v>5</v>
      </c>
      <c r="C4" s="191">
        <v>1.1632473231712448</v>
      </c>
      <c r="D4" s="20">
        <v>1.129982932159998</v>
      </c>
      <c r="E4" s="20">
        <v>1.07374</v>
      </c>
      <c r="F4" s="20">
        <v>0.9994869718002866</v>
      </c>
      <c r="G4" s="192">
        <v>0.9555992534781509</v>
      </c>
      <c r="H4" s="22">
        <v>22.46</v>
      </c>
      <c r="I4" s="193">
        <v>0.8306684430285205</v>
      </c>
      <c r="J4" s="190">
        <v>0.7609904515130761</v>
      </c>
      <c r="K4" s="190">
        <v>0.6810773557844552</v>
      </c>
      <c r="L4" s="190">
        <v>0.6550916512997473</v>
      </c>
      <c r="M4" s="195">
        <v>0.6264976979136627</v>
      </c>
      <c r="O4" s="32">
        <v>15</v>
      </c>
      <c r="P4" s="22">
        <v>10000</v>
      </c>
      <c r="Q4" s="20">
        <v>1.3565018917303953</v>
      </c>
      <c r="R4" s="20">
        <v>1.301964176509299</v>
      </c>
      <c r="S4" s="20">
        <v>1.2243</v>
      </c>
      <c r="T4" s="20">
        <v>1.1304380859621332</v>
      </c>
      <c r="U4" s="20">
        <v>1.075335399964566</v>
      </c>
      <c r="V4" s="26">
        <v>23.96</v>
      </c>
    </row>
    <row r="5" spans="1:22" ht="12.75">
      <c r="A5" s="194">
        <v>13</v>
      </c>
      <c r="B5" s="22">
        <v>5</v>
      </c>
      <c r="C5" s="191">
        <v>0.9342412507732</v>
      </c>
      <c r="D5" s="20">
        <v>0.9156912371934848</v>
      </c>
      <c r="E5" s="20">
        <v>0.874649</v>
      </c>
      <c r="F5" s="20">
        <v>0.8239335442499952</v>
      </c>
      <c r="G5" s="192">
        <v>0.7852143530849803</v>
      </c>
      <c r="H5" s="22">
        <v>21.24</v>
      </c>
      <c r="I5" s="193">
        <v>0.9615673234283428</v>
      </c>
      <c r="J5" s="190">
        <v>0.8645342104498144</v>
      </c>
      <c r="K5" s="190">
        <v>0.7754024757359801</v>
      </c>
      <c r="L5" s="190">
        <v>0.708129683923101</v>
      </c>
      <c r="M5" s="195">
        <v>0.6609764525813178</v>
      </c>
      <c r="O5" s="32">
        <v>13</v>
      </c>
      <c r="P5" s="3">
        <v>10000</v>
      </c>
      <c r="Q5" s="12">
        <v>1.1139084225616667</v>
      </c>
      <c r="R5" s="12">
        <v>1.0740205173460613</v>
      </c>
      <c r="S5" s="12">
        <v>1.01029</v>
      </c>
      <c r="T5" s="12">
        <v>0.9406239043026731</v>
      </c>
      <c r="U5" s="12">
        <v>0.8890159926085893</v>
      </c>
      <c r="V5" s="26">
        <v>23.3</v>
      </c>
    </row>
    <row r="6" spans="1:22" ht="12.75">
      <c r="A6" s="194">
        <v>12</v>
      </c>
      <c r="B6" s="22">
        <v>5</v>
      </c>
      <c r="C6" s="191">
        <v>0.8339431375072098</v>
      </c>
      <c r="D6" s="20">
        <v>0.8207924745514905</v>
      </c>
      <c r="E6" s="20">
        <v>0.78479</v>
      </c>
      <c r="F6" s="20">
        <v>0.7464557220566367</v>
      </c>
      <c r="G6" s="192">
        <v>0.7106125825933137</v>
      </c>
      <c r="H6" s="22">
        <v>21.15</v>
      </c>
      <c r="I6" s="193">
        <v>1.0317094028094365</v>
      </c>
      <c r="J6" s="190">
        <v>0.9286648313249413</v>
      </c>
      <c r="K6" s="190">
        <v>0.8309292931867129</v>
      </c>
      <c r="L6" s="190">
        <v>0.7315582334987603</v>
      </c>
      <c r="M6" s="195">
        <v>0.6858883154759399</v>
      </c>
      <c r="O6" s="32">
        <v>12</v>
      </c>
      <c r="P6" s="3">
        <v>10000</v>
      </c>
      <c r="Q6" s="12">
        <v>1.006020532782128</v>
      </c>
      <c r="R6" s="12">
        <v>0.9732406955379188</v>
      </c>
      <c r="S6" s="12">
        <v>0.915211</v>
      </c>
      <c r="T6" s="12">
        <v>0.8556708879391957</v>
      </c>
      <c r="U6" s="12">
        <v>0.8080927560395007</v>
      </c>
      <c r="V6" s="26">
        <v>22.66</v>
      </c>
    </row>
    <row r="7" spans="1:22" ht="12.75">
      <c r="A7" s="194">
        <v>9</v>
      </c>
      <c r="B7" s="22">
        <v>5</v>
      </c>
      <c r="C7" s="191">
        <v>0.5802996566965847</v>
      </c>
      <c r="D7" s="20">
        <v>0.579357400723321</v>
      </c>
      <c r="E7" s="20">
        <v>0.566113</v>
      </c>
      <c r="F7" s="20">
        <v>0.5366208149782451</v>
      </c>
      <c r="G7" s="192">
        <v>0.5140986346283427</v>
      </c>
      <c r="H7" s="22">
        <v>18.42</v>
      </c>
      <c r="I7" s="193">
        <v>1.2891888383944983</v>
      </c>
      <c r="J7" s="190">
        <v>1.1181297826838876</v>
      </c>
      <c r="K7" s="190">
        <v>0.9594815875982365</v>
      </c>
      <c r="L7" s="190">
        <v>0.8332792505765718</v>
      </c>
      <c r="M7" s="195">
        <v>0.7646697608215747</v>
      </c>
      <c r="O7" s="32">
        <v>9</v>
      </c>
      <c r="P7" s="3">
        <v>10000</v>
      </c>
      <c r="Q7" s="12">
        <v>0.7299228247640639</v>
      </c>
      <c r="R7" s="12">
        <v>0.7089167536367348</v>
      </c>
      <c r="S7" s="12">
        <v>0.674748</v>
      </c>
      <c r="T7" s="12">
        <v>0.6260518130880174</v>
      </c>
      <c r="U7" s="12">
        <v>0.5927217706243333</v>
      </c>
      <c r="V7" s="26">
        <v>19.95</v>
      </c>
    </row>
    <row r="8" spans="1:22" ht="12.75">
      <c r="A8" s="194">
        <v>7</v>
      </c>
      <c r="B8" s="22">
        <v>5</v>
      </c>
      <c r="C8" s="191">
        <v>0.4460128241283889</v>
      </c>
      <c r="D8" s="20">
        <v>0.44644071586392536</v>
      </c>
      <c r="E8" s="20">
        <v>0.44091</v>
      </c>
      <c r="F8" s="20">
        <v>0.42482740088028115</v>
      </c>
      <c r="G8" s="192">
        <v>0.40591131398838365</v>
      </c>
      <c r="H8" s="22">
        <v>19.21</v>
      </c>
      <c r="I8" s="193">
        <v>1.5030269268982466</v>
      </c>
      <c r="J8" s="190">
        <v>1.2978651226108218</v>
      </c>
      <c r="K8" s="190">
        <v>1.0748338663219248</v>
      </c>
      <c r="L8" s="190">
        <v>0.914173433033294</v>
      </c>
      <c r="M8" s="195">
        <v>0.8255163267188348</v>
      </c>
      <c r="O8" s="32">
        <v>7</v>
      </c>
      <c r="P8" s="3">
        <v>10000</v>
      </c>
      <c r="Q8" s="12">
        <v>0.580086681009769</v>
      </c>
      <c r="R8" s="12">
        <v>0.5623246827505647</v>
      </c>
      <c r="S8" s="12">
        <v>0.535691</v>
      </c>
      <c r="T8" s="12">
        <v>0.5025005855821487</v>
      </c>
      <c r="U8" s="12">
        <v>0.4729285973678448</v>
      </c>
      <c r="V8" s="26">
        <v>20.88</v>
      </c>
    </row>
    <row r="9" spans="1:22" ht="12.75">
      <c r="A9" s="194">
        <v>6</v>
      </c>
      <c r="B9" s="22">
        <v>5</v>
      </c>
      <c r="C9" s="191">
        <v>0.38829093229020734</v>
      </c>
      <c r="D9" s="20">
        <v>0.38972451284572523</v>
      </c>
      <c r="E9" s="20">
        <v>0.39111</v>
      </c>
      <c r="F9" s="20">
        <v>0.3746508489840623</v>
      </c>
      <c r="G9" s="192">
        <v>0.3602093619876763</v>
      </c>
      <c r="H9" s="22">
        <v>16.87</v>
      </c>
      <c r="I9" s="193">
        <v>1.6211418909261577</v>
      </c>
      <c r="J9" s="190">
        <v>1.393382377913821</v>
      </c>
      <c r="K9" s="190">
        <v>1.1334407200020447</v>
      </c>
      <c r="L9" s="190">
        <v>0.9526660404610932</v>
      </c>
      <c r="M9" s="195">
        <v>0.8460813395097588</v>
      </c>
      <c r="O9" s="32">
        <v>6</v>
      </c>
      <c r="P9" s="3">
        <v>10000</v>
      </c>
      <c r="Q9" s="12">
        <v>0.5141858715306928</v>
      </c>
      <c r="R9" s="12">
        <v>0.49833156653378163</v>
      </c>
      <c r="S9" s="12">
        <v>0.47977</v>
      </c>
      <c r="T9" s="12">
        <v>0.446034277155469</v>
      </c>
      <c r="U9" s="12">
        <v>0.42116264588657404</v>
      </c>
      <c r="V9" s="26">
        <v>18.38</v>
      </c>
    </row>
    <row r="10" spans="1:22" ht="12.75">
      <c r="A10" s="194">
        <v>3</v>
      </c>
      <c r="B10" s="22">
        <v>5</v>
      </c>
      <c r="C10" s="191">
        <v>0.24904909019389773</v>
      </c>
      <c r="D10" s="20">
        <v>0.25659345201134653</v>
      </c>
      <c r="E10" s="20">
        <v>0.25969</v>
      </c>
      <c r="F10" s="20">
        <v>0.2544255313383357</v>
      </c>
      <c r="G10" s="192">
        <v>0.2431451693398207</v>
      </c>
      <c r="H10" s="22">
        <v>15.74</v>
      </c>
      <c r="I10" s="193">
        <v>2.0817800547629717</v>
      </c>
      <c r="J10" s="190">
        <v>1.7248962446767602</v>
      </c>
      <c r="K10" s="190">
        <v>1.3434479571797142</v>
      </c>
      <c r="L10" s="190">
        <v>1.0757481992815776</v>
      </c>
      <c r="M10" s="195">
        <v>0.9262431562227769</v>
      </c>
      <c r="O10" s="32">
        <v>3</v>
      </c>
      <c r="P10" s="3">
        <v>10000</v>
      </c>
      <c r="Q10" s="12">
        <v>0.35274217591840185</v>
      </c>
      <c r="R10" s="12">
        <v>0.34511286836795013</v>
      </c>
      <c r="S10" s="12">
        <v>0.329466</v>
      </c>
      <c r="T10" s="12">
        <v>0.3091650927760303</v>
      </c>
      <c r="U10" s="12">
        <v>0.2881874791537481</v>
      </c>
      <c r="V10" s="26">
        <v>17.27</v>
      </c>
    </row>
    <row r="11" spans="1:22" ht="12.75">
      <c r="A11" s="194">
        <v>0</v>
      </c>
      <c r="B11" s="22">
        <v>5</v>
      </c>
      <c r="C11" s="191">
        <v>0.153125683519588</v>
      </c>
      <c r="D11" s="20">
        <v>0.16160355438681623</v>
      </c>
      <c r="E11" s="20">
        <v>0.167456</v>
      </c>
      <c r="F11" s="20">
        <v>0.16670362418273593</v>
      </c>
      <c r="G11" s="192">
        <v>0.16058795535706047</v>
      </c>
      <c r="H11" s="22">
        <v>15.34</v>
      </c>
      <c r="I11" s="193">
        <v>2.807218582501373</v>
      </c>
      <c r="J11" s="190">
        <v>2.171396489885863</v>
      </c>
      <c r="K11" s="190">
        <v>1.594120246512517</v>
      </c>
      <c r="L11" s="190">
        <v>1.2014155367390777</v>
      </c>
      <c r="M11" s="195">
        <v>1.0066859958130814</v>
      </c>
      <c r="O11" s="32">
        <v>0</v>
      </c>
      <c r="P11" s="3">
        <v>10000</v>
      </c>
      <c r="Q11" s="12">
        <v>0.23909713636647034</v>
      </c>
      <c r="R11" s="12">
        <v>0.2317846325365386</v>
      </c>
      <c r="S11" s="12">
        <v>0.220845</v>
      </c>
      <c r="T11" s="12">
        <v>0.2067596890075062</v>
      </c>
      <c r="U11" s="12">
        <v>0.19292028450790227</v>
      </c>
      <c r="V11" s="26">
        <v>17.05</v>
      </c>
    </row>
    <row r="12" spans="1:22" ht="12.75">
      <c r="A12" s="194">
        <v>-3</v>
      </c>
      <c r="B12" s="22">
        <v>5</v>
      </c>
      <c r="C12" s="191">
        <v>0.0909089945316521</v>
      </c>
      <c r="D12" s="20">
        <v>0.09967973033725658</v>
      </c>
      <c r="E12" s="20">
        <v>0.106735</v>
      </c>
      <c r="F12" s="20">
        <v>0.10784669844887886</v>
      </c>
      <c r="G12" s="192">
        <v>0.10385008454269024</v>
      </c>
      <c r="H12" s="22">
        <v>13.9</v>
      </c>
      <c r="I12" s="193">
        <v>3.9011323321947033</v>
      </c>
      <c r="J12" s="190">
        <v>2.781176342148334</v>
      </c>
      <c r="K12" s="190">
        <v>1.899939101513094</v>
      </c>
      <c r="L12" s="190">
        <v>1.3481218996944866</v>
      </c>
      <c r="M12" s="195">
        <v>1.09319753465833</v>
      </c>
      <c r="O12" s="32">
        <v>-3</v>
      </c>
      <c r="P12" s="3">
        <v>10000</v>
      </c>
      <c r="Q12" s="12">
        <v>0.1618385981026</v>
      </c>
      <c r="R12" s="12">
        <v>0.15512511189839728</v>
      </c>
      <c r="S12" s="12">
        <v>0.147293</v>
      </c>
      <c r="T12" s="12">
        <v>0.13692479764661505</v>
      </c>
      <c r="U12" s="12">
        <v>0.12655581582191586</v>
      </c>
      <c r="V12" s="26">
        <v>15.5</v>
      </c>
    </row>
    <row r="13" spans="1:22" ht="12.75">
      <c r="A13" s="194">
        <v>-8</v>
      </c>
      <c r="B13" s="22">
        <v>5</v>
      </c>
      <c r="C13" s="191">
        <v>0.033451979781015405</v>
      </c>
      <c r="D13" s="20">
        <v>0.04010271726128372</v>
      </c>
      <c r="E13" s="20">
        <v>0.047433</v>
      </c>
      <c r="F13" s="20">
        <v>0.04917228655245617</v>
      </c>
      <c r="G13" s="192">
        <v>0.0464680922642435</v>
      </c>
      <c r="H13" s="22">
        <v>12.66</v>
      </c>
      <c r="I13" s="193">
        <v>6.990645423904416</v>
      </c>
      <c r="J13" s="190">
        <v>4.404112001098443</v>
      </c>
      <c r="K13" s="190">
        <v>2.487930343853435</v>
      </c>
      <c r="L13" s="190">
        <v>1.5829124309285236</v>
      </c>
      <c r="M13" s="195">
        <v>1.2063879772112884</v>
      </c>
      <c r="O13" s="80">
        <v>-8</v>
      </c>
      <c r="P13" s="3">
        <v>10000</v>
      </c>
      <c r="Q13" s="12">
        <v>0.08022216565635508</v>
      </c>
      <c r="R13" s="12">
        <v>0.07542608893469918</v>
      </c>
      <c r="S13" s="12">
        <v>0.071035</v>
      </c>
      <c r="T13" s="12">
        <v>0.06473937128066863</v>
      </c>
      <c r="U13" s="12">
        <v>0.05767980183054914</v>
      </c>
      <c r="V13" s="26">
        <v>13.82</v>
      </c>
    </row>
    <row r="14" spans="1:22" ht="12.75">
      <c r="A14" s="194">
        <v>-12</v>
      </c>
      <c r="B14" s="22">
        <v>5</v>
      </c>
      <c r="C14" s="191">
        <v>0.012896991450774517</v>
      </c>
      <c r="D14" s="20">
        <v>0.01806865220277471</v>
      </c>
      <c r="E14" s="20">
        <v>0.022915</v>
      </c>
      <c r="F14" s="20">
        <v>0.023630318480600425</v>
      </c>
      <c r="G14" s="192">
        <v>0.023027631111612136</v>
      </c>
      <c r="H14" s="22">
        <v>12.21</v>
      </c>
      <c r="I14" s="193">
        <v>11.131387046662056</v>
      </c>
      <c r="J14" s="190">
        <v>5.98854066276763</v>
      </c>
      <c r="K14" s="190">
        <v>2.957887846388828</v>
      </c>
      <c r="L14" s="190">
        <v>1.7363413874736322</v>
      </c>
      <c r="M14" s="195">
        <v>1.2656236735970439</v>
      </c>
      <c r="O14" s="32">
        <v>-12</v>
      </c>
      <c r="P14" s="3">
        <v>10000</v>
      </c>
      <c r="Q14" s="12">
        <v>0.04160927216598706</v>
      </c>
      <c r="R14" s="12">
        <v>0.039709623890319165</v>
      </c>
      <c r="S14" s="12">
        <v>0.036471</v>
      </c>
      <c r="T14" s="12">
        <v>0.031836378476010334</v>
      </c>
      <c r="U14" s="12">
        <v>0.02885649412795536</v>
      </c>
      <c r="V14" s="26">
        <v>12.91</v>
      </c>
    </row>
    <row r="15" spans="1:22" ht="12.75">
      <c r="A15" s="194">
        <v>-17</v>
      </c>
      <c r="B15" s="22">
        <v>5</v>
      </c>
      <c r="C15" s="191">
        <v>0.003958847062570929</v>
      </c>
      <c r="D15" s="20">
        <v>0.006624475388628196</v>
      </c>
      <c r="E15" s="20">
        <v>0.008927</v>
      </c>
      <c r="F15" s="20">
        <v>0.009428431991479889</v>
      </c>
      <c r="G15" s="192">
        <v>0.009248034689371002</v>
      </c>
      <c r="H15" s="22">
        <v>13.23</v>
      </c>
      <c r="I15" s="193">
        <v>17.374913228393453</v>
      </c>
      <c r="J15" s="190">
        <v>7.533354380970954</v>
      </c>
      <c r="K15" s="190">
        <v>3.3734737313767225</v>
      </c>
      <c r="L15" s="190">
        <v>1.8351815609556243</v>
      </c>
      <c r="M15" s="195">
        <v>1.2939514232491522</v>
      </c>
      <c r="O15" s="32">
        <v>-17</v>
      </c>
      <c r="P15" s="3">
        <v>10000</v>
      </c>
      <c r="Q15" s="12">
        <v>0.01771577190190097</v>
      </c>
      <c r="R15" s="12">
        <v>0.016605379526739492</v>
      </c>
      <c r="S15" s="12">
        <v>0.01495</v>
      </c>
      <c r="T15" s="12">
        <v>0.012889008899377491</v>
      </c>
      <c r="U15" s="12">
        <v>0.01164133621908483</v>
      </c>
      <c r="V15" s="26">
        <v>13.66</v>
      </c>
    </row>
    <row r="16" spans="1:22" ht="13.5" thickBot="1">
      <c r="A16" s="196">
        <v>-20</v>
      </c>
      <c r="B16" s="36">
        <v>5</v>
      </c>
      <c r="C16" s="197">
        <v>0.002319187898977475</v>
      </c>
      <c r="D16" s="35">
        <v>0.003907730144349218</v>
      </c>
      <c r="E16" s="35">
        <v>0.005296</v>
      </c>
      <c r="F16" s="35">
        <v>0.005588248827001925</v>
      </c>
      <c r="G16" s="198">
        <v>0.0060717310343197245</v>
      </c>
      <c r="H16" s="36">
        <v>11.96</v>
      </c>
      <c r="I16" s="199">
        <v>18.94931138206757</v>
      </c>
      <c r="J16" s="200">
        <v>7.926896238611427</v>
      </c>
      <c r="K16" s="200">
        <v>3.5130287009063443</v>
      </c>
      <c r="L16" s="200">
        <v>1.8630824533033408</v>
      </c>
      <c r="M16" s="202">
        <v>1.2987726783934506</v>
      </c>
      <c r="O16" s="32">
        <v>-20</v>
      </c>
      <c r="P16" s="3">
        <v>10000</v>
      </c>
      <c r="Q16" s="12">
        <v>0.011108590629226922</v>
      </c>
      <c r="R16" s="12">
        <v>0.01010296442089928</v>
      </c>
      <c r="S16" s="12">
        <v>0.009017</v>
      </c>
      <c r="T16" s="12">
        <v>0.007670522493857978</v>
      </c>
      <c r="U16" s="12">
        <v>0.007648890709905338</v>
      </c>
      <c r="V16" s="26">
        <v>12.23</v>
      </c>
    </row>
    <row r="17" spans="1:22" ht="13.5" thickBot="1">
      <c r="A17" s="22"/>
      <c r="B17" s="22"/>
      <c r="C17" s="20"/>
      <c r="D17" s="20"/>
      <c r="E17" s="20"/>
      <c r="F17" s="20"/>
      <c r="G17" s="20"/>
      <c r="H17" s="22"/>
      <c r="I17" s="190"/>
      <c r="J17" s="190"/>
      <c r="K17" s="190"/>
      <c r="L17" s="190"/>
      <c r="M17" s="190"/>
      <c r="O17" s="205"/>
      <c r="Q17" s="12"/>
      <c r="R17" s="12"/>
      <c r="S17" s="12"/>
      <c r="T17" s="12"/>
      <c r="U17" s="12"/>
      <c r="V17" s="19"/>
    </row>
    <row r="18" spans="13:23" ht="13.5" thickBot="1">
      <c r="M18" s="176"/>
      <c r="N18" s="177"/>
      <c r="O18" s="178"/>
      <c r="P18" s="179"/>
      <c r="Q18" s="180"/>
      <c r="R18" s="180"/>
      <c r="S18" s="180"/>
      <c r="T18" s="180"/>
      <c r="U18" s="180"/>
      <c r="V18" s="181"/>
      <c r="W18" s="182"/>
    </row>
    <row r="19" spans="1:23" ht="14.25" thickBot="1" thickTop="1">
      <c r="A19" s="201" t="s">
        <v>63</v>
      </c>
      <c r="B19" s="233"/>
      <c r="C19" s="233"/>
      <c r="D19" s="233"/>
      <c r="E19" s="233"/>
      <c r="F19" s="233"/>
      <c r="G19" s="234"/>
      <c r="H19" s="235" t="s">
        <v>64</v>
      </c>
      <c r="I19" s="236"/>
      <c r="J19" s="236"/>
      <c r="K19" s="236"/>
      <c r="L19" s="236"/>
      <c r="M19" s="183"/>
      <c r="N19" s="171"/>
      <c r="O19" s="171"/>
      <c r="P19" s="171"/>
      <c r="Q19" s="171"/>
      <c r="R19" s="171"/>
      <c r="S19" s="171"/>
      <c r="T19" s="171"/>
      <c r="U19" s="171"/>
      <c r="V19" s="171"/>
      <c r="W19" s="184"/>
    </row>
    <row r="20" spans="1:23" ht="39" customHeight="1" thickBot="1" thickTop="1">
      <c r="A20" s="98" t="s">
        <v>60</v>
      </c>
      <c r="B20" s="99" t="s">
        <v>49</v>
      </c>
      <c r="C20" s="98" t="s">
        <v>61</v>
      </c>
      <c r="D20" s="100" t="s">
        <v>62</v>
      </c>
      <c r="E20" s="100" t="s">
        <v>6</v>
      </c>
      <c r="F20" s="100" t="s">
        <v>31</v>
      </c>
      <c r="G20" s="99" t="s">
        <v>32</v>
      </c>
      <c r="H20" s="98" t="s">
        <v>65</v>
      </c>
      <c r="I20" s="100" t="s">
        <v>66</v>
      </c>
      <c r="J20" s="100" t="s">
        <v>67</v>
      </c>
      <c r="K20" s="100" t="s">
        <v>68</v>
      </c>
      <c r="L20" s="100" t="s">
        <v>69</v>
      </c>
      <c r="M20" s="183"/>
      <c r="N20" s="171"/>
      <c r="O20" s="171"/>
      <c r="P20" s="171"/>
      <c r="Q20" s="171"/>
      <c r="R20" s="171"/>
      <c r="S20" s="171"/>
      <c r="T20" s="171"/>
      <c r="U20" s="171"/>
      <c r="V20" s="171"/>
      <c r="W20" s="184"/>
    </row>
    <row r="21" spans="1:23" ht="30" customHeight="1">
      <c r="A21" s="240" t="s">
        <v>70</v>
      </c>
      <c r="B21" s="241"/>
      <c r="C21" s="88">
        <f>Q38</f>
        <v>15</v>
      </c>
      <c r="D21" s="22">
        <f>R38</f>
        <v>7</v>
      </c>
      <c r="E21" s="22">
        <f>S38</f>
        <v>5</v>
      </c>
      <c r="F21" s="22">
        <f>T38</f>
        <v>5</v>
      </c>
      <c r="G21" s="89">
        <f>U38</f>
        <v>8</v>
      </c>
      <c r="H21" s="88"/>
      <c r="I21" s="22"/>
      <c r="J21" s="22"/>
      <c r="K21" s="22"/>
      <c r="L21" s="22"/>
      <c r="M21" s="183"/>
      <c r="N21" s="171"/>
      <c r="O21" s="171"/>
      <c r="P21" s="171"/>
      <c r="Q21" s="171"/>
      <c r="R21" s="171"/>
      <c r="S21" s="171"/>
      <c r="T21" s="171"/>
      <c r="U21" s="171"/>
      <c r="V21" s="171"/>
      <c r="W21" s="184"/>
    </row>
    <row r="22" spans="1:23" ht="12.75">
      <c r="A22" s="88">
        <v>18</v>
      </c>
      <c r="B22" s="89">
        <v>24.69</v>
      </c>
      <c r="C22" s="92">
        <f aca="true" t="shared" si="0" ref="C22:C35">Q3*($Q$38/(I3+$Q$38))</f>
        <v>1.6908324787732796</v>
      </c>
      <c r="D22" s="20">
        <f aca="true" t="shared" si="1" ref="D22:D35">R3*($R$38/(J3+$R$38))</f>
        <v>1.5549836011231848</v>
      </c>
      <c r="E22" s="20">
        <f aca="true" t="shared" si="2" ref="E22:E35">S3*($S$38/(K3+$S$38))</f>
        <v>1.4204000000000003</v>
      </c>
      <c r="F22" s="20">
        <f aca="true" t="shared" si="3" ref="F22:F35">T3*($T$38/(L3+$T$38))</f>
        <v>1.3306354953880253</v>
      </c>
      <c r="G22" s="93">
        <f aca="true" t="shared" si="4" ref="G22:G35">U3*($U$38/(M3+$U$38))</f>
        <v>1.263056802334093</v>
      </c>
      <c r="H22" s="96">
        <f>$B22*LOG(C22/$E22,10)</f>
        <v>1.8687840719719555</v>
      </c>
      <c r="I22" s="19">
        <f aca="true" t="shared" si="5" ref="I22:L35">$B22*LOG(D22/$E22,10)</f>
        <v>0.9706910456560996</v>
      </c>
      <c r="J22" s="19">
        <f t="shared" si="5"/>
        <v>0</v>
      </c>
      <c r="K22" s="19">
        <f t="shared" si="5"/>
        <v>-0.7000000000000017</v>
      </c>
      <c r="L22" s="19">
        <f t="shared" si="5"/>
        <v>-1.258888325092959</v>
      </c>
      <c r="M22" s="183"/>
      <c r="N22" s="171"/>
      <c r="O22" s="171"/>
      <c r="P22" s="171"/>
      <c r="Q22" s="171"/>
      <c r="R22" s="171"/>
      <c r="S22" s="171"/>
      <c r="T22" s="171"/>
      <c r="U22" s="171"/>
      <c r="V22" s="171"/>
      <c r="W22" s="184"/>
    </row>
    <row r="23" spans="1:23" ht="12.75">
      <c r="A23" s="88">
        <v>15</v>
      </c>
      <c r="B23" s="89">
        <v>22.46</v>
      </c>
      <c r="C23" s="92">
        <f t="shared" si="0"/>
        <v>1.2853233866392126</v>
      </c>
      <c r="D23" s="20">
        <f t="shared" si="1"/>
        <v>1.174302338406857</v>
      </c>
      <c r="E23" s="20">
        <f t="shared" si="2"/>
        <v>1.0775244934426227</v>
      </c>
      <c r="F23" s="20">
        <f t="shared" si="3"/>
        <v>0.9994869718002866</v>
      </c>
      <c r="G23" s="93">
        <f t="shared" si="4"/>
        <v>0.99723937813107</v>
      </c>
      <c r="H23" s="96">
        <f aca="true" t="shared" si="6" ref="H23:H35">$B23*LOG(C23/$E23,10)</f>
        <v>1.7201049098486059</v>
      </c>
      <c r="I23" s="19">
        <f t="shared" si="5"/>
        <v>0.8389433200531417</v>
      </c>
      <c r="J23" s="19">
        <f t="shared" si="5"/>
        <v>0</v>
      </c>
      <c r="K23" s="19">
        <f t="shared" si="5"/>
        <v>-0.7333193026564365</v>
      </c>
      <c r="L23" s="19">
        <f t="shared" si="5"/>
        <v>-0.755278855543042</v>
      </c>
      <c r="M23" s="183"/>
      <c r="N23" s="171"/>
      <c r="O23" s="171"/>
      <c r="P23" s="171"/>
      <c r="Q23" s="171"/>
      <c r="R23" s="171"/>
      <c r="S23" s="171"/>
      <c r="T23" s="171"/>
      <c r="U23" s="171"/>
      <c r="V23" s="171"/>
      <c r="W23" s="184"/>
    </row>
    <row r="24" spans="1:23" ht="12.75">
      <c r="A24" s="88">
        <v>13</v>
      </c>
      <c r="B24" s="89">
        <v>21.24</v>
      </c>
      <c r="C24" s="92">
        <f t="shared" si="0"/>
        <v>1.0468036126941072</v>
      </c>
      <c r="D24" s="20">
        <f t="shared" si="1"/>
        <v>0.9559553586063461</v>
      </c>
      <c r="E24" s="20">
        <f t="shared" si="2"/>
        <v>0.874649</v>
      </c>
      <c r="F24" s="20">
        <f t="shared" si="3"/>
        <v>0.8239335442499952</v>
      </c>
      <c r="G24" s="93">
        <f t="shared" si="4"/>
        <v>0.8211692965345745</v>
      </c>
      <c r="H24" s="96">
        <f t="shared" si="6"/>
        <v>1.657387124015347</v>
      </c>
      <c r="I24" s="19">
        <f t="shared" si="5"/>
        <v>0.8199448827306873</v>
      </c>
      <c r="J24" s="19">
        <f t="shared" si="5"/>
        <v>0</v>
      </c>
      <c r="K24" s="19">
        <f t="shared" si="5"/>
        <v>-0.5510000000000006</v>
      </c>
      <c r="L24" s="19">
        <f t="shared" si="5"/>
        <v>-0.5819993890838808</v>
      </c>
      <c r="M24" s="183"/>
      <c r="N24" s="171"/>
      <c r="O24" s="171"/>
      <c r="P24" s="171"/>
      <c r="Q24" s="171"/>
      <c r="R24" s="171"/>
      <c r="S24" s="171"/>
      <c r="T24" s="171"/>
      <c r="U24" s="171"/>
      <c r="V24" s="171"/>
      <c r="W24" s="184"/>
    </row>
    <row r="25" spans="1:23" ht="12.75">
      <c r="A25" s="88">
        <v>12</v>
      </c>
      <c r="B25" s="89">
        <v>21.15</v>
      </c>
      <c r="C25" s="92">
        <f t="shared" si="0"/>
        <v>0.9412787877185111</v>
      </c>
      <c r="D25" s="20">
        <f t="shared" si="1"/>
        <v>0.8592474286275235</v>
      </c>
      <c r="E25" s="20">
        <f t="shared" si="2"/>
        <v>0.7847899999999999</v>
      </c>
      <c r="F25" s="20">
        <f t="shared" si="3"/>
        <v>0.7464557220566367</v>
      </c>
      <c r="G25" s="93">
        <f t="shared" si="4"/>
        <v>0.7442810468559166</v>
      </c>
      <c r="H25" s="96">
        <f t="shared" si="6"/>
        <v>1.6701057568581505</v>
      </c>
      <c r="I25" s="19">
        <f t="shared" si="5"/>
        <v>0.8325651104160844</v>
      </c>
      <c r="J25" s="19">
        <f t="shared" si="5"/>
        <v>0</v>
      </c>
      <c r="K25" s="19">
        <f t="shared" si="5"/>
        <v>-0.45999999999999974</v>
      </c>
      <c r="L25" s="19">
        <f t="shared" si="5"/>
        <v>-0.48679898991387</v>
      </c>
      <c r="M25" s="183"/>
      <c r="N25" s="171"/>
      <c r="O25" s="171"/>
      <c r="P25" s="171"/>
      <c r="Q25" s="171"/>
      <c r="R25" s="171"/>
      <c r="S25" s="171"/>
      <c r="T25" s="171"/>
      <c r="U25" s="171"/>
      <c r="V25" s="171"/>
      <c r="W25" s="184"/>
    </row>
    <row r="26" spans="1:23" ht="12.75">
      <c r="A26" s="88">
        <v>9</v>
      </c>
      <c r="B26" s="89">
        <v>18.42</v>
      </c>
      <c r="C26" s="92">
        <f t="shared" si="0"/>
        <v>0.672153934740688</v>
      </c>
      <c r="D26" s="20">
        <f t="shared" si="1"/>
        <v>0.611275922940043</v>
      </c>
      <c r="E26" s="20">
        <f t="shared" si="2"/>
        <v>0.5661129999999999</v>
      </c>
      <c r="F26" s="20">
        <f t="shared" si="3"/>
        <v>0.5366208149782451</v>
      </c>
      <c r="G26" s="93">
        <f t="shared" si="4"/>
        <v>0.5410100202737343</v>
      </c>
      <c r="H26" s="96">
        <f t="shared" si="6"/>
        <v>1.3734986713130795</v>
      </c>
      <c r="I26" s="19">
        <f t="shared" si="5"/>
        <v>0.6140152654757454</v>
      </c>
      <c r="J26" s="19">
        <f t="shared" si="5"/>
        <v>0</v>
      </c>
      <c r="K26" s="19">
        <f t="shared" si="5"/>
        <v>-0.4279999999999986</v>
      </c>
      <c r="L26" s="19">
        <f t="shared" si="5"/>
        <v>-0.36283382668231484</v>
      </c>
      <c r="M26" s="183"/>
      <c r="N26" s="171"/>
      <c r="O26" s="171"/>
      <c r="P26" s="171"/>
      <c r="Q26" s="171"/>
      <c r="R26" s="171"/>
      <c r="S26" s="171"/>
      <c r="T26" s="171"/>
      <c r="U26" s="171"/>
      <c r="V26" s="171"/>
      <c r="W26" s="184"/>
    </row>
    <row r="27" spans="1:23" ht="12.75">
      <c r="A27" s="88">
        <v>7</v>
      </c>
      <c r="B27" s="89">
        <v>19.21</v>
      </c>
      <c r="C27" s="92">
        <f t="shared" si="0"/>
        <v>0.5272548032363872</v>
      </c>
      <c r="D27" s="20">
        <f t="shared" si="1"/>
        <v>0.47437174756287825</v>
      </c>
      <c r="E27" s="20">
        <f t="shared" si="2"/>
        <v>0.4409100000000001</v>
      </c>
      <c r="F27" s="20">
        <f t="shared" si="3"/>
        <v>0.4248274008802811</v>
      </c>
      <c r="G27" s="93">
        <f t="shared" si="4"/>
        <v>0.428692060484734</v>
      </c>
      <c r="H27" s="96">
        <f t="shared" si="6"/>
        <v>1.4920521474584496</v>
      </c>
      <c r="I27" s="19">
        <f t="shared" si="5"/>
        <v>0.610279929286268</v>
      </c>
      <c r="J27" s="19">
        <f t="shared" si="5"/>
        <v>0</v>
      </c>
      <c r="K27" s="19">
        <f t="shared" si="5"/>
        <v>-0.3100000000000007</v>
      </c>
      <c r="L27" s="19">
        <f t="shared" si="5"/>
        <v>-0.23444860990747513</v>
      </c>
      <c r="M27" s="183"/>
      <c r="N27" s="171"/>
      <c r="O27" s="171"/>
      <c r="P27" s="171"/>
      <c r="Q27" s="171"/>
      <c r="R27" s="171"/>
      <c r="S27" s="171"/>
      <c r="T27" s="171"/>
      <c r="U27" s="171"/>
      <c r="V27" s="171"/>
      <c r="W27" s="184"/>
    </row>
    <row r="28" spans="1:23" ht="12.75">
      <c r="A28" s="88">
        <v>6</v>
      </c>
      <c r="B28" s="89">
        <v>16.87</v>
      </c>
      <c r="C28" s="92">
        <f t="shared" si="0"/>
        <v>0.4640347891603627</v>
      </c>
      <c r="D28" s="20">
        <f t="shared" si="1"/>
        <v>0.41560372310876365</v>
      </c>
      <c r="E28" s="20">
        <f t="shared" si="2"/>
        <v>0.39111</v>
      </c>
      <c r="F28" s="20">
        <f t="shared" si="3"/>
        <v>0.3746508489840623</v>
      </c>
      <c r="G28" s="93">
        <f t="shared" si="4"/>
        <v>0.38088064508790914</v>
      </c>
      <c r="H28" s="96">
        <f t="shared" si="6"/>
        <v>1.2526248467558938</v>
      </c>
      <c r="I28" s="19">
        <f t="shared" si="5"/>
        <v>0.44503919025645433</v>
      </c>
      <c r="J28" s="19">
        <f t="shared" si="5"/>
        <v>0</v>
      </c>
      <c r="K28" s="19">
        <f t="shared" si="5"/>
        <v>-0.31499999999999995</v>
      </c>
      <c r="L28" s="19">
        <f t="shared" si="5"/>
        <v>-0.19417397372017003</v>
      </c>
      <c r="M28" s="183"/>
      <c r="N28" s="171"/>
      <c r="O28" s="171"/>
      <c r="P28" s="171"/>
      <c r="Q28" s="171"/>
      <c r="R28" s="171"/>
      <c r="S28" s="171"/>
      <c r="T28" s="171"/>
      <c r="U28" s="171"/>
      <c r="V28" s="171"/>
      <c r="W28" s="184"/>
    </row>
    <row r="29" spans="1:23" ht="12.75">
      <c r="A29" s="88">
        <v>3</v>
      </c>
      <c r="B29" s="89">
        <v>15.74</v>
      </c>
      <c r="C29" s="92">
        <f t="shared" si="0"/>
        <v>0.30975300125707234</v>
      </c>
      <c r="D29" s="20">
        <f t="shared" si="1"/>
        <v>0.27688467700112473</v>
      </c>
      <c r="E29" s="20">
        <f t="shared" si="2"/>
        <v>0.25969</v>
      </c>
      <c r="F29" s="20">
        <f t="shared" si="3"/>
        <v>0.2544255313383357</v>
      </c>
      <c r="G29" s="93">
        <f t="shared" si="4"/>
        <v>0.258283332963291</v>
      </c>
      <c r="H29" s="96">
        <f t="shared" si="6"/>
        <v>1.205059069341302</v>
      </c>
      <c r="I29" s="19">
        <f t="shared" si="5"/>
        <v>0.43825977285530504</v>
      </c>
      <c r="J29" s="19">
        <f t="shared" si="5"/>
        <v>0</v>
      </c>
      <c r="K29" s="19">
        <f t="shared" si="5"/>
        <v>-0.14000000000000115</v>
      </c>
      <c r="L29" s="19">
        <f t="shared" si="5"/>
        <v>-0.03712820999630486</v>
      </c>
      <c r="M29" s="183"/>
      <c r="N29" s="171"/>
      <c r="O29" s="171"/>
      <c r="P29" s="171"/>
      <c r="Q29" s="171"/>
      <c r="R29" s="171"/>
      <c r="S29" s="171"/>
      <c r="T29" s="171"/>
      <c r="U29" s="171"/>
      <c r="V29" s="171"/>
      <c r="W29" s="184"/>
    </row>
    <row r="30" spans="1:23" ht="12.75">
      <c r="A30" s="88">
        <v>0</v>
      </c>
      <c r="B30" s="89">
        <v>15.34</v>
      </c>
      <c r="C30" s="92">
        <f t="shared" si="0"/>
        <v>0.20140467355308148</v>
      </c>
      <c r="D30" s="20">
        <f t="shared" si="1"/>
        <v>0.17690789287596942</v>
      </c>
      <c r="E30" s="20">
        <f t="shared" si="2"/>
        <v>0.167456</v>
      </c>
      <c r="F30" s="20">
        <f t="shared" si="3"/>
        <v>0.16670362418273593</v>
      </c>
      <c r="G30" s="93">
        <f t="shared" si="4"/>
        <v>0.17135739791313673</v>
      </c>
      <c r="H30" s="96">
        <f t="shared" si="6"/>
        <v>1.2297898673413155</v>
      </c>
      <c r="I30" s="19">
        <f t="shared" si="5"/>
        <v>0.36580525862123</v>
      </c>
      <c r="J30" s="19">
        <f t="shared" si="5"/>
        <v>0</v>
      </c>
      <c r="K30" s="19">
        <f t="shared" si="5"/>
        <v>-0.0300000000000002</v>
      </c>
      <c r="L30" s="19">
        <f t="shared" si="5"/>
        <v>0.153432914328978</v>
      </c>
      <c r="M30" s="183"/>
      <c r="N30" s="171"/>
      <c r="O30" s="171"/>
      <c r="P30" s="171"/>
      <c r="Q30" s="171"/>
      <c r="R30" s="171"/>
      <c r="S30" s="171"/>
      <c r="T30" s="171"/>
      <c r="U30" s="171"/>
      <c r="V30" s="171"/>
      <c r="W30" s="184"/>
    </row>
    <row r="31" spans="1:23" ht="12.75">
      <c r="A31" s="88">
        <v>-3</v>
      </c>
      <c r="B31" s="89">
        <v>13.9</v>
      </c>
      <c r="C31" s="92">
        <f t="shared" si="0"/>
        <v>0.12843563702287047</v>
      </c>
      <c r="D31" s="20">
        <f t="shared" si="1"/>
        <v>0.11101689053591682</v>
      </c>
      <c r="E31" s="20">
        <f t="shared" si="2"/>
        <v>0.106735</v>
      </c>
      <c r="F31" s="20">
        <f t="shared" si="3"/>
        <v>0.10784669844887886</v>
      </c>
      <c r="G31" s="93">
        <f t="shared" si="4"/>
        <v>0.11134109016288611</v>
      </c>
      <c r="H31" s="96">
        <f t="shared" si="6"/>
        <v>1.1172637864874624</v>
      </c>
      <c r="I31" s="19">
        <f t="shared" si="5"/>
        <v>0.2374426442168223</v>
      </c>
      <c r="J31" s="19">
        <f t="shared" si="5"/>
        <v>0</v>
      </c>
      <c r="K31" s="19">
        <f t="shared" si="5"/>
        <v>0.06255000000000006</v>
      </c>
      <c r="L31" s="19">
        <f t="shared" si="5"/>
        <v>0.255045746170941</v>
      </c>
      <c r="M31" s="183"/>
      <c r="N31" s="171"/>
      <c r="O31" s="171"/>
      <c r="P31" s="171"/>
      <c r="Q31" s="171"/>
      <c r="R31" s="171"/>
      <c r="S31" s="171"/>
      <c r="T31" s="171"/>
      <c r="U31" s="171"/>
      <c r="V31" s="171"/>
      <c r="W31" s="184"/>
    </row>
    <row r="32" spans="1:23" ht="12.75">
      <c r="A32" s="88">
        <v>-8</v>
      </c>
      <c r="B32" s="89">
        <v>12.66</v>
      </c>
      <c r="C32" s="92">
        <f t="shared" si="0"/>
        <v>0.05472019859577526</v>
      </c>
      <c r="D32" s="20">
        <f t="shared" si="1"/>
        <v>0.04629756551777456</v>
      </c>
      <c r="E32" s="20">
        <f t="shared" si="2"/>
        <v>0.047433</v>
      </c>
      <c r="F32" s="20">
        <f t="shared" si="3"/>
        <v>0.04917228655245617</v>
      </c>
      <c r="G32" s="93">
        <f t="shared" si="4"/>
        <v>0.05012154775429827</v>
      </c>
      <c r="H32" s="96">
        <f t="shared" si="6"/>
        <v>0.785769125292563</v>
      </c>
      <c r="I32" s="19">
        <f t="shared" si="5"/>
        <v>-0.13321407066176683</v>
      </c>
      <c r="J32" s="19">
        <f t="shared" si="5"/>
        <v>0</v>
      </c>
      <c r="K32" s="19">
        <f t="shared" si="5"/>
        <v>0.1979999999999995</v>
      </c>
      <c r="L32" s="19">
        <f t="shared" si="5"/>
        <v>0.30312952283507877</v>
      </c>
      <c r="M32" s="183"/>
      <c r="N32" s="171"/>
      <c r="O32" s="171"/>
      <c r="P32" s="171"/>
      <c r="Q32" s="171"/>
      <c r="R32" s="171"/>
      <c r="S32" s="171"/>
      <c r="T32" s="171"/>
      <c r="U32" s="171"/>
      <c r="V32" s="171"/>
      <c r="W32" s="184"/>
    </row>
    <row r="33" spans="1:23" ht="12.75">
      <c r="A33" s="88">
        <v>-12</v>
      </c>
      <c r="B33" s="89">
        <v>12.21</v>
      </c>
      <c r="C33" s="92">
        <f t="shared" si="0"/>
        <v>0.023884651870002115</v>
      </c>
      <c r="D33" s="20">
        <f t="shared" si="1"/>
        <v>0.021400969858688054</v>
      </c>
      <c r="E33" s="20">
        <f t="shared" si="2"/>
        <v>0.022915</v>
      </c>
      <c r="F33" s="20">
        <f t="shared" si="3"/>
        <v>0.023630318480600425</v>
      </c>
      <c r="G33" s="93">
        <f t="shared" si="4"/>
        <v>0.02491488551185923</v>
      </c>
      <c r="H33" s="96">
        <f t="shared" si="6"/>
        <v>0.21976844981657914</v>
      </c>
      <c r="I33" s="19">
        <f t="shared" si="5"/>
        <v>-0.3624710201267314</v>
      </c>
      <c r="J33" s="19">
        <f t="shared" si="5"/>
        <v>0</v>
      </c>
      <c r="K33" s="19">
        <f t="shared" si="5"/>
        <v>0.163</v>
      </c>
      <c r="L33" s="19">
        <f t="shared" si="5"/>
        <v>0.4436996084827439</v>
      </c>
      <c r="M33" s="183"/>
      <c r="N33" s="171"/>
      <c r="O33" s="171"/>
      <c r="P33" s="171"/>
      <c r="Q33" s="171"/>
      <c r="R33" s="171"/>
      <c r="S33" s="171"/>
      <c r="T33" s="171"/>
      <c r="U33" s="171"/>
      <c r="V33" s="171"/>
      <c r="W33" s="184"/>
    </row>
    <row r="34" spans="1:23" ht="12.75">
      <c r="A34" s="88">
        <v>-17</v>
      </c>
      <c r="B34" s="89">
        <v>13.23</v>
      </c>
      <c r="C34" s="92">
        <f t="shared" si="0"/>
        <v>0.008208101645055784</v>
      </c>
      <c r="D34" s="20">
        <f t="shared" si="1"/>
        <v>0.007997992317545811</v>
      </c>
      <c r="E34" s="20">
        <f t="shared" si="2"/>
        <v>0.008926999999999997</v>
      </c>
      <c r="F34" s="20">
        <f t="shared" si="3"/>
        <v>0.009428431991479889</v>
      </c>
      <c r="G34" s="93">
        <f t="shared" si="4"/>
        <v>0.010020569885883939</v>
      </c>
      <c r="H34" s="96">
        <f t="shared" si="6"/>
        <v>-0.48240296155603246</v>
      </c>
      <c r="I34" s="19">
        <f t="shared" si="5"/>
        <v>-0.6313958247696161</v>
      </c>
      <c r="J34" s="19">
        <f t="shared" si="5"/>
        <v>0</v>
      </c>
      <c r="K34" s="19">
        <f t="shared" si="5"/>
        <v>0.3140000000000015</v>
      </c>
      <c r="L34" s="19">
        <f t="shared" si="5"/>
        <v>0.6639725081778929</v>
      </c>
      <c r="M34" s="183"/>
      <c r="N34" s="171"/>
      <c r="O34" s="171"/>
      <c r="P34" s="171"/>
      <c r="Q34" s="171"/>
      <c r="R34" s="171"/>
      <c r="S34" s="171"/>
      <c r="T34" s="171"/>
      <c r="U34" s="171"/>
      <c r="V34" s="171"/>
      <c r="W34" s="184"/>
    </row>
    <row r="35" spans="1:23" ht="13.5" thickBot="1">
      <c r="A35" s="90">
        <v>-20</v>
      </c>
      <c r="B35" s="91">
        <v>11.96</v>
      </c>
      <c r="C35" s="94">
        <f t="shared" si="0"/>
        <v>0.004908166105731946</v>
      </c>
      <c r="D35" s="25">
        <f t="shared" si="1"/>
        <v>0.004737806829752154</v>
      </c>
      <c r="E35" s="25">
        <f t="shared" si="2"/>
        <v>0.005296</v>
      </c>
      <c r="F35" s="25">
        <f t="shared" si="3"/>
        <v>0.005588248827001925</v>
      </c>
      <c r="G35" s="95">
        <f t="shared" si="4"/>
        <v>0.006580559370101161</v>
      </c>
      <c r="H35" s="97">
        <f t="shared" si="6"/>
        <v>-0.3950235440370635</v>
      </c>
      <c r="I35" s="24">
        <f t="shared" si="5"/>
        <v>-0.5785126962181434</v>
      </c>
      <c r="J35" s="24">
        <f t="shared" si="5"/>
        <v>0</v>
      </c>
      <c r="K35" s="24">
        <f t="shared" si="5"/>
        <v>0.27900000000000014</v>
      </c>
      <c r="L35" s="24">
        <f t="shared" si="5"/>
        <v>1.1280054298401005</v>
      </c>
      <c r="M35" s="183"/>
      <c r="N35" s="171"/>
      <c r="O35" s="171"/>
      <c r="P35" s="171"/>
      <c r="Q35" s="171"/>
      <c r="R35" s="171"/>
      <c r="S35" s="171"/>
      <c r="T35" s="171"/>
      <c r="U35" s="171"/>
      <c r="V35" s="171"/>
      <c r="W35" s="184"/>
    </row>
    <row r="36" spans="13:23" ht="14.25" thickBot="1" thickTop="1">
      <c r="M36" s="183"/>
      <c r="N36" s="171"/>
      <c r="O36" s="171"/>
      <c r="P36" s="171"/>
      <c r="Q36" s="171"/>
      <c r="R36" s="171"/>
      <c r="S36" s="171"/>
      <c r="T36" s="171"/>
      <c r="U36" s="171"/>
      <c r="V36" s="171"/>
      <c r="W36" s="184"/>
    </row>
    <row r="37" spans="1:23" ht="43.5" customHeight="1" thickBot="1" thickTop="1">
      <c r="A37" s="232"/>
      <c r="B37" s="232"/>
      <c r="M37" s="183"/>
      <c r="N37" s="237" t="s">
        <v>78</v>
      </c>
      <c r="O37" s="238"/>
      <c r="P37" s="238"/>
      <c r="Q37" s="238"/>
      <c r="R37" s="238"/>
      <c r="S37" s="238"/>
      <c r="T37" s="238"/>
      <c r="U37" s="239"/>
      <c r="V37" s="171"/>
      <c r="W37" s="184"/>
    </row>
    <row r="38" spans="13:23" ht="16.5" customHeight="1" thickTop="1">
      <c r="M38" s="183"/>
      <c r="N38" s="225" t="s">
        <v>91</v>
      </c>
      <c r="O38" s="226"/>
      <c r="P38" s="226"/>
      <c r="Q38" s="172">
        <v>15</v>
      </c>
      <c r="R38" s="172">
        <v>7</v>
      </c>
      <c r="S38" s="172">
        <v>5</v>
      </c>
      <c r="T38" s="172">
        <v>5</v>
      </c>
      <c r="U38" s="173">
        <v>8</v>
      </c>
      <c r="V38" s="171"/>
      <c r="W38" s="184"/>
    </row>
    <row r="39" spans="13:23" ht="18.75" customHeight="1" thickBot="1">
      <c r="M39" s="183"/>
      <c r="N39" s="227" t="s">
        <v>71</v>
      </c>
      <c r="O39" s="228"/>
      <c r="P39" s="228"/>
      <c r="Q39" s="174">
        <v>-22</v>
      </c>
      <c r="R39" s="174">
        <v>0</v>
      </c>
      <c r="S39" s="174">
        <v>23</v>
      </c>
      <c r="T39" s="174">
        <v>50</v>
      </c>
      <c r="U39" s="175">
        <v>71</v>
      </c>
      <c r="V39" s="171"/>
      <c r="W39" s="184"/>
    </row>
    <row r="40" spans="13:23" ht="13.5" thickBot="1">
      <c r="M40" s="185"/>
      <c r="N40" s="186"/>
      <c r="O40" s="186"/>
      <c r="P40" s="186"/>
      <c r="Q40" s="186"/>
      <c r="R40" s="186"/>
      <c r="S40" s="186"/>
      <c r="T40" s="186"/>
      <c r="U40" s="186"/>
      <c r="V40" s="186"/>
      <c r="W40" s="187"/>
    </row>
  </sheetData>
  <mergeCells count="8">
    <mergeCell ref="N38:P38"/>
    <mergeCell ref="N39:P39"/>
    <mergeCell ref="Q1:U1"/>
    <mergeCell ref="A37:B37"/>
    <mergeCell ref="A19:G19"/>
    <mergeCell ref="H19:L19"/>
    <mergeCell ref="N37:U37"/>
    <mergeCell ref="A21:B21"/>
  </mergeCells>
  <printOptions/>
  <pageMargins left="0.75" right="0.75" top="1" bottom="1" header="0.5" footer="0.5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L-3 Communications/Narda Microwave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Boncore</dc:creator>
  <cp:keywords/>
  <dc:description/>
  <cp:lastModifiedBy>TOMORK</cp:lastModifiedBy>
  <cp:lastPrinted>2007-07-27T18:55:19Z</cp:lastPrinted>
  <dcterms:created xsi:type="dcterms:W3CDTF">2006-04-18T19:35:10Z</dcterms:created>
  <dcterms:modified xsi:type="dcterms:W3CDTF">2007-07-27T18:56:11Z</dcterms:modified>
  <cp:category/>
  <cp:version/>
  <cp:contentType/>
  <cp:contentStatus/>
</cp:coreProperties>
</file>