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2.xml" ContentType="application/vnd.openxmlformats-officedocument.drawing+xml"/>
  <Override PartName="/xl/charts/chart14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L6PEPF000199DC\EXCELCNV\831b40a6-046d-4040-a5b6-a4fb68fb7f9a\"/>
    </mc:Choice>
  </mc:AlternateContent>
  <xr:revisionPtr revIDLastSave="0" documentId="8_{237EA939-3838-455D-968A-EBC7FFE286BB}" xr6:coauthVersionLast="47" xr6:coauthVersionMax="47" xr10:uidLastSave="{00000000-0000-0000-0000-000000000000}"/>
  <bookViews>
    <workbookView xWindow="-60" yWindow="-60" windowWidth="15480" windowHeight="11640" xr2:uid="{5CD5691A-93D7-4467-9C0B-EE787A9B8E47}"/>
  </bookViews>
  <sheets>
    <sheet name="Detector Prototype data avg." sheetId="1" r:id="rId1"/>
    <sheet name="Thermal Comp by changing Rload" sheetId="2" r:id="rId2"/>
  </sheets>
  <definedNames>
    <definedName name="_xlnm.Print_Area" localSheetId="0">'Detector Prototype data avg.'!$A$1:$AE$247</definedName>
    <definedName name="_xlnm.Print_Area" localSheetId="1">'Thermal Comp by changing Rload'!$A$1:$X$43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1" i="1" l="1"/>
  <c r="Q186" i="1"/>
  <c r="W186" i="1"/>
  <c r="Q140" i="1"/>
  <c r="Q185" i="1"/>
  <c r="W185" i="1"/>
  <c r="Q139" i="1"/>
  <c r="Q184" i="1"/>
  <c r="W184" i="1"/>
  <c r="Q138" i="1"/>
  <c r="Q183" i="1"/>
  <c r="W183" i="1"/>
  <c r="Q15" i="1"/>
  <c r="Q137" i="1"/>
  <c r="Q60" i="1"/>
  <c r="Q182" i="1"/>
  <c r="W182" i="1"/>
  <c r="Q136" i="1"/>
  <c r="Q181" i="1"/>
  <c r="W181" i="1"/>
  <c r="Q135" i="1"/>
  <c r="Q180" i="1"/>
  <c r="W180" i="1"/>
  <c r="Q134" i="1"/>
  <c r="Q179" i="1"/>
  <c r="W179" i="1"/>
  <c r="Q133" i="1"/>
  <c r="Q178" i="1"/>
  <c r="W178" i="1"/>
  <c r="Q132" i="1"/>
  <c r="Q177" i="1"/>
  <c r="W177" i="1"/>
  <c r="Q131" i="1"/>
  <c r="Q176" i="1"/>
  <c r="W176" i="1"/>
  <c r="Q130" i="1"/>
  <c r="Q175" i="1"/>
  <c r="W175" i="1"/>
  <c r="Q129" i="1"/>
  <c r="Q174" i="1"/>
  <c r="W174" i="1"/>
  <c r="Q128" i="1"/>
  <c r="Q173" i="1"/>
  <c r="W173" i="1"/>
  <c r="P141" i="1"/>
  <c r="P186" i="1"/>
  <c r="V186" i="1"/>
  <c r="P140" i="1"/>
  <c r="P185" i="1"/>
  <c r="V185" i="1"/>
  <c r="P139" i="1"/>
  <c r="P184" i="1"/>
  <c r="V184" i="1"/>
  <c r="P138" i="1"/>
  <c r="P183" i="1"/>
  <c r="V183" i="1"/>
  <c r="P15" i="1"/>
  <c r="P137" i="1"/>
  <c r="P60" i="1"/>
  <c r="P182" i="1"/>
  <c r="V182" i="1"/>
  <c r="P136" i="1"/>
  <c r="P181" i="1"/>
  <c r="V181" i="1"/>
  <c r="P135" i="1"/>
  <c r="P180" i="1"/>
  <c r="V180" i="1"/>
  <c r="P134" i="1"/>
  <c r="P179" i="1"/>
  <c r="V179" i="1"/>
  <c r="P133" i="1"/>
  <c r="P178" i="1"/>
  <c r="V178" i="1"/>
  <c r="P132" i="1"/>
  <c r="P177" i="1"/>
  <c r="V177" i="1"/>
  <c r="P131" i="1"/>
  <c r="P176" i="1"/>
  <c r="V176" i="1"/>
  <c r="P130" i="1"/>
  <c r="P175" i="1"/>
  <c r="V175" i="1"/>
  <c r="P129" i="1"/>
  <c r="P174" i="1"/>
  <c r="V174" i="1"/>
  <c r="P128" i="1"/>
  <c r="P173" i="1"/>
  <c r="V173" i="1"/>
  <c r="M141" i="1"/>
  <c r="M186" i="1"/>
  <c r="S186" i="1"/>
  <c r="M140" i="1"/>
  <c r="M185" i="1"/>
  <c r="S185" i="1"/>
  <c r="M139" i="1"/>
  <c r="M184" i="1"/>
  <c r="S184" i="1"/>
  <c r="M138" i="1"/>
  <c r="M183" i="1"/>
  <c r="S183" i="1"/>
  <c r="M15" i="1"/>
  <c r="M137" i="1"/>
  <c r="M60" i="1"/>
  <c r="M182" i="1"/>
  <c r="S182" i="1"/>
  <c r="M136" i="1"/>
  <c r="M181" i="1"/>
  <c r="S181" i="1"/>
  <c r="M135" i="1"/>
  <c r="M180" i="1"/>
  <c r="S180" i="1"/>
  <c r="M134" i="1"/>
  <c r="M179" i="1"/>
  <c r="S179" i="1"/>
  <c r="M133" i="1"/>
  <c r="M178" i="1"/>
  <c r="S178" i="1"/>
  <c r="M132" i="1"/>
  <c r="M177" i="1"/>
  <c r="S177" i="1"/>
  <c r="M131" i="1"/>
  <c r="M176" i="1"/>
  <c r="S176" i="1"/>
  <c r="M130" i="1"/>
  <c r="M175" i="1"/>
  <c r="S175" i="1"/>
  <c r="M129" i="1"/>
  <c r="M174" i="1"/>
  <c r="S174" i="1"/>
  <c r="M128" i="1"/>
  <c r="M173" i="1"/>
  <c r="S173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N141" i="1"/>
  <c r="N186" i="1"/>
  <c r="T186" i="1"/>
  <c r="N140" i="1"/>
  <c r="N185" i="1"/>
  <c r="T185" i="1"/>
  <c r="N139" i="1"/>
  <c r="N184" i="1"/>
  <c r="T184" i="1"/>
  <c r="N138" i="1"/>
  <c r="N183" i="1"/>
  <c r="T183" i="1"/>
  <c r="N15" i="1"/>
  <c r="N137" i="1"/>
  <c r="N60" i="1"/>
  <c r="N182" i="1"/>
  <c r="T182" i="1"/>
  <c r="N136" i="1"/>
  <c r="N181" i="1"/>
  <c r="T181" i="1"/>
  <c r="N135" i="1"/>
  <c r="N180" i="1"/>
  <c r="T180" i="1"/>
  <c r="N134" i="1"/>
  <c r="N179" i="1"/>
  <c r="T179" i="1"/>
  <c r="N133" i="1"/>
  <c r="N178" i="1"/>
  <c r="T178" i="1"/>
  <c r="N132" i="1"/>
  <c r="N177" i="1"/>
  <c r="T177" i="1"/>
  <c r="N131" i="1"/>
  <c r="N176" i="1"/>
  <c r="T176" i="1"/>
  <c r="N130" i="1"/>
  <c r="N175" i="1"/>
  <c r="T175" i="1"/>
  <c r="N129" i="1"/>
  <c r="N174" i="1"/>
  <c r="T174" i="1"/>
  <c r="N128" i="1"/>
  <c r="N173" i="1"/>
  <c r="T173" i="1"/>
  <c r="Q201" i="1"/>
  <c r="W201" i="1"/>
  <c r="P201" i="1"/>
  <c r="V201" i="1"/>
  <c r="Q200" i="1"/>
  <c r="W200" i="1"/>
  <c r="P200" i="1"/>
  <c r="V200" i="1"/>
  <c r="Q199" i="1"/>
  <c r="W199" i="1"/>
  <c r="P199" i="1"/>
  <c r="V199" i="1"/>
  <c r="Q198" i="1"/>
  <c r="W198" i="1"/>
  <c r="P198" i="1"/>
  <c r="V198" i="1"/>
  <c r="Q75" i="1"/>
  <c r="Q197" i="1"/>
  <c r="W197" i="1"/>
  <c r="P75" i="1"/>
  <c r="P197" i="1"/>
  <c r="V197" i="1"/>
  <c r="Q196" i="1"/>
  <c r="W196" i="1"/>
  <c r="P196" i="1"/>
  <c r="V196" i="1"/>
  <c r="Q195" i="1"/>
  <c r="W195" i="1"/>
  <c r="P195" i="1"/>
  <c r="V195" i="1"/>
  <c r="Q194" i="1"/>
  <c r="W194" i="1"/>
  <c r="P194" i="1"/>
  <c r="V194" i="1"/>
  <c r="Q193" i="1"/>
  <c r="W193" i="1"/>
  <c r="P193" i="1"/>
  <c r="V193" i="1"/>
  <c r="Q192" i="1"/>
  <c r="W192" i="1"/>
  <c r="P192" i="1"/>
  <c r="V192" i="1"/>
  <c r="Q191" i="1"/>
  <c r="W191" i="1"/>
  <c r="P191" i="1"/>
  <c r="V191" i="1"/>
  <c r="Q190" i="1"/>
  <c r="W190" i="1"/>
  <c r="P190" i="1"/>
  <c r="V190" i="1"/>
  <c r="Q189" i="1"/>
  <c r="W189" i="1"/>
  <c r="P189" i="1"/>
  <c r="V189" i="1"/>
  <c r="Q188" i="1"/>
  <c r="W188" i="1"/>
  <c r="P188" i="1"/>
  <c r="V188" i="1"/>
  <c r="M201" i="1"/>
  <c r="S201" i="1"/>
  <c r="M200" i="1"/>
  <c r="S200" i="1"/>
  <c r="M199" i="1"/>
  <c r="S199" i="1"/>
  <c r="M198" i="1"/>
  <c r="S198" i="1"/>
  <c r="M75" i="1"/>
  <c r="M197" i="1"/>
  <c r="S197" i="1"/>
  <c r="M196" i="1"/>
  <c r="S196" i="1"/>
  <c r="M195" i="1"/>
  <c r="S195" i="1"/>
  <c r="M194" i="1"/>
  <c r="S194" i="1"/>
  <c r="M193" i="1"/>
  <c r="S193" i="1"/>
  <c r="M192" i="1"/>
  <c r="S192" i="1"/>
  <c r="M191" i="1"/>
  <c r="S191" i="1"/>
  <c r="M190" i="1"/>
  <c r="S190" i="1"/>
  <c r="M189" i="1"/>
  <c r="S189" i="1"/>
  <c r="M188" i="1"/>
  <c r="S188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N201" i="1"/>
  <c r="T201" i="1"/>
  <c r="N200" i="1"/>
  <c r="T200" i="1"/>
  <c r="N199" i="1"/>
  <c r="T199" i="1"/>
  <c r="N198" i="1"/>
  <c r="T198" i="1"/>
  <c r="N75" i="1"/>
  <c r="N197" i="1"/>
  <c r="T197" i="1"/>
  <c r="N196" i="1"/>
  <c r="T196" i="1"/>
  <c r="N195" i="1"/>
  <c r="T195" i="1"/>
  <c r="N194" i="1"/>
  <c r="T194" i="1"/>
  <c r="N193" i="1"/>
  <c r="T193" i="1"/>
  <c r="N192" i="1"/>
  <c r="T192" i="1"/>
  <c r="N191" i="1"/>
  <c r="T191" i="1"/>
  <c r="N190" i="1"/>
  <c r="T190" i="1"/>
  <c r="N189" i="1"/>
  <c r="T189" i="1"/>
  <c r="N188" i="1"/>
  <c r="T188" i="1"/>
  <c r="Q216" i="1"/>
  <c r="W216" i="1"/>
  <c r="P216" i="1"/>
  <c r="V216" i="1"/>
  <c r="Q215" i="1"/>
  <c r="W215" i="1"/>
  <c r="P215" i="1"/>
  <c r="V215" i="1"/>
  <c r="Q214" i="1"/>
  <c r="W214" i="1"/>
  <c r="P214" i="1"/>
  <c r="V214" i="1"/>
  <c r="Q213" i="1"/>
  <c r="W213" i="1"/>
  <c r="P213" i="1"/>
  <c r="V213" i="1"/>
  <c r="Q90" i="1"/>
  <c r="Q212" i="1"/>
  <c r="W212" i="1"/>
  <c r="P90" i="1"/>
  <c r="P212" i="1"/>
  <c r="V212" i="1"/>
  <c r="Q211" i="1"/>
  <c r="W211" i="1"/>
  <c r="P211" i="1"/>
  <c r="V211" i="1"/>
  <c r="Q210" i="1"/>
  <c r="W210" i="1"/>
  <c r="P210" i="1"/>
  <c r="V210" i="1"/>
  <c r="Q209" i="1"/>
  <c r="W209" i="1"/>
  <c r="P209" i="1"/>
  <c r="V209" i="1"/>
  <c r="Q208" i="1"/>
  <c r="W208" i="1"/>
  <c r="P208" i="1"/>
  <c r="V208" i="1"/>
  <c r="Q207" i="1"/>
  <c r="W207" i="1"/>
  <c r="P207" i="1"/>
  <c r="V207" i="1"/>
  <c r="Q206" i="1"/>
  <c r="W206" i="1"/>
  <c r="P206" i="1"/>
  <c r="V206" i="1"/>
  <c r="Q205" i="1"/>
  <c r="W205" i="1"/>
  <c r="P205" i="1"/>
  <c r="V205" i="1"/>
  <c r="Q204" i="1"/>
  <c r="W204" i="1"/>
  <c r="P204" i="1"/>
  <c r="V204" i="1"/>
  <c r="N216" i="1"/>
  <c r="T216" i="1"/>
  <c r="M216" i="1"/>
  <c r="S216" i="1"/>
  <c r="N215" i="1"/>
  <c r="T215" i="1"/>
  <c r="M215" i="1"/>
  <c r="S215" i="1"/>
  <c r="N214" i="1"/>
  <c r="T214" i="1"/>
  <c r="M214" i="1"/>
  <c r="S214" i="1"/>
  <c r="N213" i="1"/>
  <c r="T213" i="1"/>
  <c r="M213" i="1"/>
  <c r="S213" i="1"/>
  <c r="N90" i="1"/>
  <c r="N212" i="1"/>
  <c r="T212" i="1"/>
  <c r="M90" i="1"/>
  <c r="M212" i="1"/>
  <c r="S212" i="1"/>
  <c r="N211" i="1"/>
  <c r="T211" i="1"/>
  <c r="M211" i="1"/>
  <c r="S211" i="1"/>
  <c r="N210" i="1"/>
  <c r="T210" i="1"/>
  <c r="M210" i="1"/>
  <c r="S210" i="1"/>
  <c r="N209" i="1"/>
  <c r="T209" i="1"/>
  <c r="M209" i="1"/>
  <c r="S209" i="1"/>
  <c r="N208" i="1"/>
  <c r="T208" i="1"/>
  <c r="M208" i="1"/>
  <c r="S208" i="1"/>
  <c r="N207" i="1"/>
  <c r="T207" i="1"/>
  <c r="M207" i="1"/>
  <c r="S207" i="1"/>
  <c r="N206" i="1"/>
  <c r="T206" i="1"/>
  <c r="M206" i="1"/>
  <c r="S206" i="1"/>
  <c r="N205" i="1"/>
  <c r="T205" i="1"/>
  <c r="M205" i="1"/>
  <c r="S205" i="1"/>
  <c r="N204" i="1"/>
  <c r="T204" i="1"/>
  <c r="M204" i="1"/>
  <c r="S204" i="1"/>
  <c r="Q203" i="1"/>
  <c r="W203" i="1"/>
  <c r="P203" i="1"/>
  <c r="V203" i="1"/>
  <c r="M203" i="1"/>
  <c r="S203" i="1"/>
  <c r="N203" i="1"/>
  <c r="T203" i="1"/>
  <c r="N246" i="1"/>
  <c r="T246" i="1"/>
  <c r="N245" i="1"/>
  <c r="T245" i="1"/>
  <c r="N244" i="1"/>
  <c r="T244" i="1"/>
  <c r="N243" i="1"/>
  <c r="T243" i="1"/>
  <c r="N120" i="1"/>
  <c r="N242" i="1"/>
  <c r="T242" i="1"/>
  <c r="N241" i="1"/>
  <c r="T241" i="1"/>
  <c r="N240" i="1"/>
  <c r="T240" i="1"/>
  <c r="N239" i="1"/>
  <c r="T239" i="1"/>
  <c r="N238" i="1"/>
  <c r="T238" i="1"/>
  <c r="N237" i="1"/>
  <c r="T237" i="1"/>
  <c r="N236" i="1"/>
  <c r="T236" i="1"/>
  <c r="N235" i="1"/>
  <c r="T235" i="1"/>
  <c r="N234" i="1"/>
  <c r="T234" i="1"/>
  <c r="N233" i="1"/>
  <c r="T233" i="1"/>
  <c r="Q246" i="1"/>
  <c r="W246" i="1"/>
  <c r="Q245" i="1"/>
  <c r="W245" i="1"/>
  <c r="Q244" i="1"/>
  <c r="W244" i="1"/>
  <c r="Q243" i="1"/>
  <c r="W243" i="1"/>
  <c r="Q120" i="1"/>
  <c r="Q242" i="1"/>
  <c r="W242" i="1"/>
  <c r="Q241" i="1"/>
  <c r="W241" i="1"/>
  <c r="Q240" i="1"/>
  <c r="W240" i="1"/>
  <c r="Q239" i="1"/>
  <c r="W239" i="1"/>
  <c r="Q238" i="1"/>
  <c r="W238" i="1"/>
  <c r="Q237" i="1"/>
  <c r="W237" i="1"/>
  <c r="Q236" i="1"/>
  <c r="W236" i="1"/>
  <c r="Q235" i="1"/>
  <c r="W235" i="1"/>
  <c r="Q234" i="1"/>
  <c r="W234" i="1"/>
  <c r="Q233" i="1"/>
  <c r="W233" i="1"/>
  <c r="P246" i="1"/>
  <c r="V246" i="1"/>
  <c r="P245" i="1"/>
  <c r="V245" i="1"/>
  <c r="P244" i="1"/>
  <c r="V244" i="1"/>
  <c r="P243" i="1"/>
  <c r="V243" i="1"/>
  <c r="P120" i="1"/>
  <c r="P242" i="1"/>
  <c r="V242" i="1"/>
  <c r="P241" i="1"/>
  <c r="V241" i="1"/>
  <c r="P240" i="1"/>
  <c r="V240" i="1"/>
  <c r="P239" i="1"/>
  <c r="V239" i="1"/>
  <c r="P238" i="1"/>
  <c r="V238" i="1"/>
  <c r="P237" i="1"/>
  <c r="V237" i="1"/>
  <c r="P236" i="1"/>
  <c r="V236" i="1"/>
  <c r="P235" i="1"/>
  <c r="V235" i="1"/>
  <c r="P234" i="1"/>
  <c r="V234" i="1"/>
  <c r="P233" i="1"/>
  <c r="V233" i="1"/>
  <c r="M245" i="1"/>
  <c r="S245" i="1"/>
  <c r="M244" i="1"/>
  <c r="S244" i="1"/>
  <c r="M243" i="1"/>
  <c r="S243" i="1"/>
  <c r="M120" i="1"/>
  <c r="M242" i="1"/>
  <c r="S242" i="1"/>
  <c r="M241" i="1"/>
  <c r="S241" i="1"/>
  <c r="M240" i="1"/>
  <c r="S240" i="1"/>
  <c r="M239" i="1"/>
  <c r="S239" i="1"/>
  <c r="M238" i="1"/>
  <c r="S238" i="1"/>
  <c r="M237" i="1"/>
  <c r="S237" i="1"/>
  <c r="M236" i="1"/>
  <c r="S236" i="1"/>
  <c r="M235" i="1"/>
  <c r="S235" i="1"/>
  <c r="M234" i="1"/>
  <c r="S234" i="1"/>
  <c r="M233" i="1"/>
  <c r="S233" i="1"/>
  <c r="M246" i="1"/>
  <c r="S246" i="1"/>
  <c r="U203" i="1"/>
  <c r="Q231" i="1"/>
  <c r="W231" i="1"/>
  <c r="P231" i="1"/>
  <c r="V231" i="1"/>
  <c r="Q230" i="1"/>
  <c r="W230" i="1"/>
  <c r="P230" i="1"/>
  <c r="V230" i="1"/>
  <c r="Q229" i="1"/>
  <c r="W229" i="1"/>
  <c r="P229" i="1"/>
  <c r="V229" i="1"/>
  <c r="Q228" i="1"/>
  <c r="W228" i="1"/>
  <c r="P228" i="1"/>
  <c r="V228" i="1"/>
  <c r="Q105" i="1"/>
  <c r="Q227" i="1"/>
  <c r="W227" i="1"/>
  <c r="P105" i="1"/>
  <c r="P227" i="1"/>
  <c r="V227" i="1"/>
  <c r="Q226" i="1"/>
  <c r="W226" i="1"/>
  <c r="P226" i="1"/>
  <c r="V226" i="1"/>
  <c r="Q225" i="1"/>
  <c r="W225" i="1"/>
  <c r="P225" i="1"/>
  <c r="V225" i="1"/>
  <c r="Q224" i="1"/>
  <c r="W224" i="1"/>
  <c r="P224" i="1"/>
  <c r="V224" i="1"/>
  <c r="Q223" i="1"/>
  <c r="W223" i="1"/>
  <c r="P223" i="1"/>
  <c r="V223" i="1"/>
  <c r="Q222" i="1"/>
  <c r="W222" i="1"/>
  <c r="P222" i="1"/>
  <c r="V222" i="1"/>
  <c r="Q221" i="1"/>
  <c r="W221" i="1"/>
  <c r="P221" i="1"/>
  <c r="V221" i="1"/>
  <c r="Q220" i="1"/>
  <c r="W220" i="1"/>
  <c r="P220" i="1"/>
  <c r="V220" i="1"/>
  <c r="Q219" i="1"/>
  <c r="W219" i="1"/>
  <c r="P219" i="1"/>
  <c r="V219" i="1"/>
  <c r="N231" i="1"/>
  <c r="T231" i="1"/>
  <c r="M231" i="1"/>
  <c r="S231" i="1"/>
  <c r="N230" i="1"/>
  <c r="T230" i="1"/>
  <c r="M230" i="1"/>
  <c r="S230" i="1"/>
  <c r="N229" i="1"/>
  <c r="T229" i="1"/>
  <c r="M229" i="1"/>
  <c r="S229" i="1"/>
  <c r="N228" i="1"/>
  <c r="T228" i="1"/>
  <c r="M228" i="1"/>
  <c r="S228" i="1"/>
  <c r="N105" i="1"/>
  <c r="N227" i="1"/>
  <c r="T227" i="1"/>
  <c r="M105" i="1"/>
  <c r="M227" i="1"/>
  <c r="S227" i="1"/>
  <c r="N226" i="1"/>
  <c r="T226" i="1"/>
  <c r="M226" i="1"/>
  <c r="S226" i="1"/>
  <c r="N225" i="1"/>
  <c r="T225" i="1"/>
  <c r="M225" i="1"/>
  <c r="S225" i="1"/>
  <c r="N224" i="1"/>
  <c r="T224" i="1"/>
  <c r="M224" i="1"/>
  <c r="S224" i="1"/>
  <c r="N223" i="1"/>
  <c r="T223" i="1"/>
  <c r="M223" i="1"/>
  <c r="S223" i="1"/>
  <c r="N222" i="1"/>
  <c r="T222" i="1"/>
  <c r="M222" i="1"/>
  <c r="S222" i="1"/>
  <c r="N221" i="1"/>
  <c r="T221" i="1"/>
  <c r="M221" i="1"/>
  <c r="S221" i="1"/>
  <c r="N220" i="1"/>
  <c r="T220" i="1"/>
  <c r="M220" i="1"/>
  <c r="S220" i="1"/>
  <c r="N219" i="1"/>
  <c r="T219" i="1"/>
  <c r="M219" i="1"/>
  <c r="S219" i="1"/>
  <c r="M218" i="1"/>
  <c r="S218" i="1"/>
  <c r="Q218" i="1"/>
  <c r="W218" i="1"/>
  <c r="P218" i="1"/>
  <c r="V218" i="1"/>
  <c r="N218" i="1"/>
  <c r="T218" i="1"/>
  <c r="U219" i="1"/>
  <c r="U221" i="1"/>
  <c r="U220" i="1"/>
  <c r="U218" i="1"/>
  <c r="Q171" i="1"/>
  <c r="P171" i="1"/>
  <c r="Q170" i="1"/>
  <c r="P170" i="1"/>
  <c r="Q169" i="1"/>
  <c r="P169" i="1"/>
  <c r="Q168" i="1"/>
  <c r="P168" i="1"/>
  <c r="Q45" i="1"/>
  <c r="Q167" i="1"/>
  <c r="P45" i="1"/>
  <c r="P167" i="1"/>
  <c r="Q166" i="1"/>
  <c r="P166" i="1"/>
  <c r="Q165" i="1"/>
  <c r="P165" i="1"/>
  <c r="Q164" i="1"/>
  <c r="P164" i="1"/>
  <c r="Q163" i="1"/>
  <c r="P163" i="1"/>
  <c r="Q162" i="1"/>
  <c r="P162" i="1"/>
  <c r="Q161" i="1"/>
  <c r="P161" i="1"/>
  <c r="Q160" i="1"/>
  <c r="P160" i="1"/>
  <c r="Q159" i="1"/>
  <c r="P159" i="1"/>
  <c r="Q158" i="1"/>
  <c r="P158" i="1"/>
  <c r="Q156" i="1"/>
  <c r="P156" i="1"/>
  <c r="Q155" i="1"/>
  <c r="P155" i="1"/>
  <c r="Q154" i="1"/>
  <c r="P154" i="1"/>
  <c r="Q153" i="1"/>
  <c r="P153" i="1"/>
  <c r="Q30" i="1"/>
  <c r="Q152" i="1"/>
  <c r="P30" i="1"/>
  <c r="P152" i="1"/>
  <c r="Q151" i="1"/>
  <c r="P151" i="1"/>
  <c r="Q150" i="1"/>
  <c r="P150" i="1"/>
  <c r="Q149" i="1"/>
  <c r="P149" i="1"/>
  <c r="Q148" i="1"/>
  <c r="P148" i="1"/>
  <c r="Q147" i="1"/>
  <c r="P147" i="1"/>
  <c r="Q146" i="1"/>
  <c r="P146" i="1"/>
  <c r="Q145" i="1"/>
  <c r="P145" i="1"/>
  <c r="Q144" i="1"/>
  <c r="P144" i="1"/>
  <c r="Q143" i="1"/>
  <c r="P143" i="1"/>
  <c r="N171" i="1"/>
  <c r="M171" i="1"/>
  <c r="N170" i="1"/>
  <c r="M170" i="1"/>
  <c r="N169" i="1"/>
  <c r="M169" i="1"/>
  <c r="N168" i="1"/>
  <c r="M168" i="1"/>
  <c r="N45" i="1"/>
  <c r="N167" i="1"/>
  <c r="M45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6" i="1"/>
  <c r="M156" i="1"/>
  <c r="N155" i="1"/>
  <c r="M155" i="1"/>
  <c r="N154" i="1"/>
  <c r="M154" i="1"/>
  <c r="N153" i="1"/>
  <c r="M153" i="1"/>
  <c r="N30" i="1"/>
  <c r="N152" i="1"/>
  <c r="M30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1" i="1"/>
  <c r="U230" i="1"/>
  <c r="U229" i="1"/>
  <c r="U228" i="1"/>
  <c r="U227" i="1"/>
  <c r="U226" i="1"/>
  <c r="U225" i="1"/>
  <c r="U224" i="1"/>
  <c r="U223" i="1"/>
  <c r="U222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I117" i="1"/>
  <c r="I116" i="1"/>
  <c r="I115" i="1"/>
  <c r="I114" i="1"/>
  <c r="I113" i="1"/>
  <c r="I112" i="1"/>
  <c r="I111" i="1"/>
  <c r="I109" i="1"/>
  <c r="I108" i="1"/>
  <c r="I107" i="1"/>
  <c r="I106" i="1"/>
  <c r="I105" i="1"/>
  <c r="I104" i="1"/>
  <c r="I103" i="1"/>
  <c r="I101" i="1"/>
  <c r="I100" i="1"/>
  <c r="I99" i="1"/>
  <c r="I98" i="1"/>
  <c r="I97" i="1"/>
  <c r="I96" i="1"/>
  <c r="I95" i="1"/>
  <c r="I93" i="1"/>
  <c r="I92" i="1"/>
  <c r="I91" i="1"/>
  <c r="I90" i="1"/>
  <c r="I89" i="1"/>
  <c r="I88" i="1"/>
  <c r="I87" i="1"/>
  <c r="I85" i="1"/>
  <c r="I84" i="1"/>
  <c r="I83" i="1"/>
  <c r="I82" i="1"/>
  <c r="I81" i="1"/>
  <c r="I80" i="1"/>
  <c r="I79" i="1"/>
  <c r="I77" i="1"/>
  <c r="I76" i="1"/>
  <c r="I75" i="1"/>
  <c r="I74" i="1"/>
  <c r="I73" i="1"/>
  <c r="I72" i="1"/>
  <c r="I71" i="1"/>
  <c r="I69" i="1"/>
  <c r="I68" i="1"/>
  <c r="I67" i="1"/>
  <c r="I66" i="1"/>
  <c r="I65" i="1"/>
  <c r="I64" i="1"/>
  <c r="I63" i="1"/>
  <c r="I61" i="1"/>
  <c r="I60" i="1"/>
  <c r="I59" i="1"/>
  <c r="I58" i="1"/>
  <c r="I57" i="1"/>
  <c r="I56" i="1"/>
  <c r="I55" i="1"/>
  <c r="I53" i="1"/>
  <c r="I52" i="1"/>
  <c r="I51" i="1"/>
  <c r="I50" i="1"/>
  <c r="I49" i="1"/>
  <c r="I48" i="1"/>
  <c r="I47" i="1"/>
  <c r="I45" i="1"/>
  <c r="I44" i="1"/>
  <c r="I43" i="1"/>
  <c r="I42" i="1"/>
  <c r="I41" i="1"/>
  <c r="I40" i="1"/>
  <c r="I39" i="1"/>
  <c r="I37" i="1"/>
  <c r="I36" i="1"/>
  <c r="I35" i="1"/>
  <c r="I34" i="1"/>
  <c r="I33" i="1"/>
  <c r="I32" i="1"/>
  <c r="I31" i="1"/>
  <c r="I29" i="1"/>
  <c r="I28" i="1"/>
  <c r="I27" i="1"/>
  <c r="I26" i="1"/>
  <c r="I25" i="1"/>
  <c r="I24" i="1"/>
  <c r="I23" i="1"/>
  <c r="I21" i="1"/>
  <c r="I20" i="1"/>
  <c r="I19" i="1"/>
  <c r="I18" i="1"/>
  <c r="I17" i="1"/>
  <c r="I16" i="1"/>
  <c r="I15" i="1"/>
  <c r="I13" i="1"/>
  <c r="I12" i="1"/>
  <c r="I11" i="1"/>
  <c r="I10" i="1"/>
  <c r="I9" i="1"/>
  <c r="I8" i="1"/>
  <c r="I7" i="1"/>
  <c r="G85" i="1"/>
  <c r="F85" i="1"/>
  <c r="D85" i="1"/>
  <c r="C85" i="1"/>
  <c r="G84" i="1"/>
  <c r="F84" i="1"/>
  <c r="D84" i="1"/>
  <c r="C84" i="1"/>
  <c r="G83" i="1"/>
  <c r="F83" i="1"/>
  <c r="D83" i="1"/>
  <c r="C83" i="1"/>
  <c r="G82" i="1"/>
  <c r="F82" i="1"/>
  <c r="D82" i="1"/>
  <c r="C82" i="1"/>
  <c r="G81" i="1"/>
  <c r="F81" i="1"/>
  <c r="D81" i="1"/>
  <c r="C81" i="1"/>
  <c r="G80" i="1"/>
  <c r="F80" i="1"/>
  <c r="C80" i="1"/>
  <c r="C79" i="1"/>
  <c r="D79" i="1"/>
  <c r="F79" i="1"/>
  <c r="G79" i="1"/>
  <c r="D80" i="1"/>
  <c r="G78" i="1"/>
  <c r="F78" i="1"/>
  <c r="D78" i="1"/>
  <c r="C78" i="1"/>
  <c r="G21" i="2"/>
  <c r="F21" i="2"/>
  <c r="E21" i="2"/>
  <c r="D21" i="2"/>
  <c r="C21" i="2"/>
  <c r="G35" i="2"/>
  <c r="E35" i="2"/>
  <c r="L35" i="2"/>
  <c r="F35" i="2"/>
  <c r="K35" i="2"/>
  <c r="J35" i="2"/>
  <c r="D35" i="2"/>
  <c r="I35" i="2"/>
  <c r="C35" i="2"/>
  <c r="H35" i="2"/>
  <c r="G34" i="2"/>
  <c r="E34" i="2"/>
  <c r="L34" i="2"/>
  <c r="F34" i="2"/>
  <c r="K34" i="2"/>
  <c r="J34" i="2"/>
  <c r="D34" i="2"/>
  <c r="I34" i="2"/>
  <c r="C34" i="2"/>
  <c r="H34" i="2"/>
  <c r="G33" i="2"/>
  <c r="E33" i="2"/>
  <c r="L33" i="2"/>
  <c r="F33" i="2"/>
  <c r="K33" i="2"/>
  <c r="J33" i="2"/>
  <c r="D33" i="2"/>
  <c r="I33" i="2"/>
  <c r="C33" i="2"/>
  <c r="H33" i="2"/>
  <c r="G32" i="2"/>
  <c r="E32" i="2"/>
  <c r="L32" i="2"/>
  <c r="F32" i="2"/>
  <c r="K32" i="2"/>
  <c r="J32" i="2"/>
  <c r="D32" i="2"/>
  <c r="I32" i="2"/>
  <c r="C32" i="2"/>
  <c r="H32" i="2"/>
  <c r="G31" i="2"/>
  <c r="E31" i="2"/>
  <c r="L31" i="2"/>
  <c r="F31" i="2"/>
  <c r="K31" i="2"/>
  <c r="J31" i="2"/>
  <c r="D31" i="2"/>
  <c r="I31" i="2"/>
  <c r="C31" i="2"/>
  <c r="H31" i="2"/>
  <c r="G30" i="2"/>
  <c r="E30" i="2"/>
  <c r="L30" i="2"/>
  <c r="F30" i="2"/>
  <c r="K30" i="2"/>
  <c r="J30" i="2"/>
  <c r="D30" i="2"/>
  <c r="I30" i="2"/>
  <c r="C30" i="2"/>
  <c r="H30" i="2"/>
  <c r="G29" i="2"/>
  <c r="E29" i="2"/>
  <c r="L29" i="2"/>
  <c r="F29" i="2"/>
  <c r="K29" i="2"/>
  <c r="J29" i="2"/>
  <c r="D29" i="2"/>
  <c r="I29" i="2"/>
  <c r="C29" i="2"/>
  <c r="H29" i="2"/>
  <c r="G28" i="2"/>
  <c r="E28" i="2"/>
  <c r="L28" i="2"/>
  <c r="F28" i="2"/>
  <c r="K28" i="2"/>
  <c r="J28" i="2"/>
  <c r="D28" i="2"/>
  <c r="I28" i="2"/>
  <c r="C28" i="2"/>
  <c r="H28" i="2"/>
  <c r="G27" i="2"/>
  <c r="E27" i="2"/>
  <c r="L27" i="2"/>
  <c r="F27" i="2"/>
  <c r="K27" i="2"/>
  <c r="J27" i="2"/>
  <c r="D27" i="2"/>
  <c r="I27" i="2"/>
  <c r="C27" i="2"/>
  <c r="H27" i="2"/>
  <c r="G26" i="2"/>
  <c r="E26" i="2"/>
  <c r="L26" i="2"/>
  <c r="F26" i="2"/>
  <c r="K26" i="2"/>
  <c r="J26" i="2"/>
  <c r="D26" i="2"/>
  <c r="I26" i="2"/>
  <c r="C26" i="2"/>
  <c r="H26" i="2"/>
  <c r="G25" i="2"/>
  <c r="E25" i="2"/>
  <c r="L25" i="2"/>
  <c r="F25" i="2"/>
  <c r="K25" i="2"/>
  <c r="J25" i="2"/>
  <c r="D25" i="2"/>
  <c r="I25" i="2"/>
  <c r="C25" i="2"/>
  <c r="H25" i="2"/>
  <c r="G24" i="2"/>
  <c r="E24" i="2"/>
  <c r="L24" i="2"/>
  <c r="F24" i="2"/>
  <c r="K24" i="2"/>
  <c r="J24" i="2"/>
  <c r="D24" i="2"/>
  <c r="I24" i="2"/>
  <c r="C24" i="2"/>
  <c r="H24" i="2"/>
  <c r="G23" i="2"/>
  <c r="E23" i="2"/>
  <c r="L23" i="2"/>
  <c r="F23" i="2"/>
  <c r="K23" i="2"/>
  <c r="J23" i="2"/>
  <c r="D23" i="2"/>
  <c r="I23" i="2"/>
  <c r="C23" i="2"/>
  <c r="H23" i="2"/>
  <c r="G22" i="2"/>
  <c r="E22" i="2"/>
  <c r="L22" i="2"/>
  <c r="F22" i="2"/>
  <c r="K22" i="2"/>
  <c r="J22" i="2"/>
  <c r="D22" i="2"/>
  <c r="I22" i="2"/>
  <c r="C22" i="2"/>
  <c r="H22" i="2"/>
</calcChain>
</file>

<file path=xl/sharedStrings.xml><?xml version="1.0" encoding="utf-8"?>
<sst xmlns="http://schemas.openxmlformats.org/spreadsheetml/2006/main" count="147" uniqueCount="92">
  <si>
    <t>Data: 19 Oct 1992</t>
  </si>
  <si>
    <t xml:space="preserve">Thermal drift, Linearity and Vout vs Load of zero bias Schottky Diode: Used in 4503, 4506, 70122 &amp; 70130 </t>
  </si>
  <si>
    <t>Redrawn: 18 Apr 2006</t>
  </si>
  <si>
    <t>Diode ID: Avg of Wht 1-Wht 5 prototypes</t>
  </si>
  <si>
    <t>Rvideo=Rload*((V10Mohm/Vload)-1)</t>
  </si>
  <si>
    <t>Rvideo= Rdiode + 300</t>
  </si>
  <si>
    <t>Power Level</t>
  </si>
  <si>
    <t>Load resistor</t>
  </si>
  <si>
    <r>
      <t>Temperature (Degrees C</t>
    </r>
    <r>
      <rPr>
        <sz val="10"/>
        <color indexed="10"/>
        <rFont val="Arial"/>
        <family val="2"/>
      </rPr>
      <t>)</t>
    </r>
    <r>
      <rPr>
        <sz val="10"/>
        <rFont val="Arial"/>
      </rPr>
      <t xml:space="preserve">: 23 deg data is the  Output Voltage measured. At other Temperatures the data given is the drift relative to 23 deg in dB using the diode Linearity- not a simple "10" or "20" multiplier </t>
    </r>
  </si>
  <si>
    <r>
      <t>Diode</t>
    </r>
    <r>
      <rPr>
        <b/>
        <sz val="10"/>
        <color indexed="10"/>
        <rFont val="Arial"/>
        <family val="2"/>
      </rPr>
      <t xml:space="preserve"> Linearity</t>
    </r>
    <r>
      <rPr>
        <sz val="10"/>
        <rFont val="Arial"/>
      </rPr>
      <t xml:space="preserve"> (Lin=(delta Pin (dB)/log(V1/V2))</t>
    </r>
  </si>
  <si>
    <t>Video Resistance @ 23 Deg C</t>
  </si>
  <si>
    <t>dBm</t>
  </si>
  <si>
    <t>K ohms</t>
  </si>
  <si>
    <r>
      <t xml:space="preserve">Drift @        </t>
    </r>
    <r>
      <rPr>
        <b/>
        <sz val="10"/>
        <color indexed="10"/>
        <rFont val="Arial"/>
        <family val="2"/>
      </rPr>
      <t xml:space="preserve">-22 </t>
    </r>
    <r>
      <rPr>
        <sz val="10"/>
        <rFont val="Arial"/>
      </rPr>
      <t>deg rel to 23 (dB)</t>
    </r>
  </si>
  <si>
    <r>
      <t xml:space="preserve">Drift @ </t>
    </r>
    <r>
      <rPr>
        <b/>
        <sz val="10"/>
        <color indexed="10"/>
        <rFont val="Arial"/>
        <family val="2"/>
      </rPr>
      <t>0</t>
    </r>
    <r>
      <rPr>
        <sz val="10"/>
        <rFont val="Arial"/>
      </rPr>
      <t xml:space="preserve"> deg rel to 23 (dB)</t>
    </r>
  </si>
  <si>
    <r>
      <t xml:space="preserve">Vout @ </t>
    </r>
    <r>
      <rPr>
        <b/>
        <sz val="10"/>
        <color indexed="10"/>
        <rFont val="Arial"/>
        <family val="2"/>
      </rPr>
      <t>23</t>
    </r>
    <r>
      <rPr>
        <sz val="10"/>
        <rFont val="Arial"/>
      </rPr>
      <t xml:space="preserve"> deg (V)</t>
    </r>
  </si>
  <si>
    <r>
      <t xml:space="preserve">Drift @ </t>
    </r>
    <r>
      <rPr>
        <b/>
        <sz val="10"/>
        <color indexed="10"/>
        <rFont val="Arial"/>
        <family val="2"/>
      </rPr>
      <t>50</t>
    </r>
    <r>
      <rPr>
        <sz val="10"/>
        <rFont val="Arial"/>
      </rPr>
      <t xml:space="preserve"> deg rel to 23 (dB)</t>
    </r>
  </si>
  <si>
    <r>
      <t xml:space="preserve">Drift @ </t>
    </r>
    <r>
      <rPr>
        <b/>
        <sz val="10"/>
        <color indexed="10"/>
        <rFont val="Arial"/>
        <family val="2"/>
      </rPr>
      <t>71</t>
    </r>
    <r>
      <rPr>
        <sz val="10"/>
        <rFont val="Arial"/>
      </rPr>
      <t xml:space="preserve"> deg rel to 23 (dB)</t>
    </r>
  </si>
  <si>
    <t>10=Square law  20= Linear Region     &gt;20= Saturation    neg = breakdown</t>
  </si>
  <si>
    <t>Kohms</t>
  </si>
  <si>
    <t xml:space="preserve">10=Square law   20= Linear Region     &gt;20= Saturation </t>
  </si>
  <si>
    <t>Rvideo @ 200K load</t>
  </si>
  <si>
    <t>Rvideo @ 50 K load</t>
  </si>
  <si>
    <t>Rvideo @ 20 K load</t>
  </si>
  <si>
    <t>Rvideo @10 K load</t>
  </si>
  <si>
    <t>Rvideo @ 5K load</t>
  </si>
  <si>
    <t>Rvideo @ 2 K load</t>
  </si>
  <si>
    <t>Rvideo @ 1 K load</t>
  </si>
  <si>
    <t>Test Temperatures</t>
  </si>
  <si>
    <t>Extended low- non-destructive but electrically not specified</t>
  </si>
  <si>
    <t>Lower Temperature Spec</t>
  </si>
  <si>
    <t>Room Temp</t>
  </si>
  <si>
    <t>Upper Temperature Spec</t>
  </si>
  <si>
    <t>Extended High- non-destructive but electrically not specified</t>
  </si>
  <si>
    <r>
      <t>Temperature (Degrees C</t>
    </r>
    <r>
      <rPr>
        <sz val="10"/>
        <color indexed="10"/>
        <rFont val="Arial"/>
        <family val="2"/>
      </rPr>
      <t>)</t>
    </r>
    <r>
      <rPr>
        <sz val="10"/>
        <rFont val="Arial"/>
      </rPr>
      <t>: Average detector voltage output at the five test temperatures. Grouped by load resistance.</t>
    </r>
  </si>
  <si>
    <r>
      <t xml:space="preserve">Vout @       </t>
    </r>
    <r>
      <rPr>
        <b/>
        <sz val="10"/>
        <color indexed="10"/>
        <rFont val="Arial"/>
        <family val="2"/>
      </rPr>
      <t xml:space="preserve">-22 </t>
    </r>
    <r>
      <rPr>
        <sz val="10"/>
        <rFont val="Arial"/>
      </rPr>
      <t>deg (V)</t>
    </r>
  </si>
  <si>
    <r>
      <t xml:space="preserve">Vout @ </t>
    </r>
    <r>
      <rPr>
        <b/>
        <sz val="10"/>
        <color indexed="10"/>
        <rFont val="Arial"/>
        <family val="2"/>
      </rPr>
      <t xml:space="preserve">0 </t>
    </r>
    <r>
      <rPr>
        <sz val="10"/>
        <rFont val="Arial"/>
      </rPr>
      <t>deg (V)</t>
    </r>
  </si>
  <si>
    <r>
      <t xml:space="preserve">Vout @ </t>
    </r>
    <r>
      <rPr>
        <sz val="10"/>
        <color indexed="10"/>
        <rFont val="Arial"/>
        <family val="2"/>
      </rPr>
      <t>5</t>
    </r>
    <r>
      <rPr>
        <b/>
        <sz val="10"/>
        <color indexed="10"/>
        <rFont val="Arial"/>
        <family val="2"/>
      </rPr>
      <t xml:space="preserve">0 </t>
    </r>
    <r>
      <rPr>
        <sz val="10"/>
        <rFont val="Arial"/>
      </rPr>
      <t>deg (V)</t>
    </r>
  </si>
  <si>
    <r>
      <t>Vout @</t>
    </r>
    <r>
      <rPr>
        <sz val="10"/>
        <color indexed="10"/>
        <rFont val="Arial"/>
        <family val="2"/>
      </rPr>
      <t xml:space="preserve"> 71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</rPr>
      <t>deg (V)</t>
    </r>
  </si>
  <si>
    <t>Vout @       -22 deg (V)</t>
  </si>
  <si>
    <t>Vout @     0 deg     (V)</t>
  </si>
  <si>
    <t>Vout @ 23 deg (V)</t>
  </si>
  <si>
    <t>Vout @ 50 deg (V)</t>
  </si>
  <si>
    <t>Vout @ 71 deg (V)</t>
  </si>
  <si>
    <t>Diode Linearity</t>
  </si>
  <si>
    <t>Rv @ 20K load, -22 C</t>
  </si>
  <si>
    <t>Rv @ 20K load, 0 C</t>
  </si>
  <si>
    <t>Rv @ 20K load, 23 C</t>
  </si>
  <si>
    <t>Rv @ 20K load, 50 C</t>
  </si>
  <si>
    <t>Rv @ 20K load,71 C</t>
  </si>
  <si>
    <t>Rv @ 10K load, -22 C</t>
  </si>
  <si>
    <t>Rv @ 10K load, 0 C</t>
  </si>
  <si>
    <t>Rv @ 10K load, 23 C</t>
  </si>
  <si>
    <t>Rv @ 10K load, 50 C</t>
  </si>
  <si>
    <t>Rv @ 10K load,71 C</t>
  </si>
  <si>
    <t>Diode Linearity @ 5 K load</t>
  </si>
  <si>
    <t>Rv @ 5K load, -22 C</t>
  </si>
  <si>
    <t>Rv @ 5K load, 0 C</t>
  </si>
  <si>
    <t>Rv @ 5K load, 23 C</t>
  </si>
  <si>
    <t>Rv @ 5K load, 50 C</t>
  </si>
  <si>
    <t>Rv @ 5K load,71 C</t>
  </si>
  <si>
    <t>Rv @ 2K load, -22 C</t>
  </si>
  <si>
    <t>Rv @ 2K load, 0 C</t>
  </si>
  <si>
    <t>Rv @ 2K load, 23 C</t>
  </si>
  <si>
    <t>Rv @ 2K load, 50 C</t>
  </si>
  <si>
    <t>Rv @ 2K load,71 C</t>
  </si>
  <si>
    <t>Rv @ 1K load, -22 C</t>
  </si>
  <si>
    <t>Rv @ 1K load, 0 C</t>
  </si>
  <si>
    <t>Rv @ 1K load, 23 C</t>
  </si>
  <si>
    <t>Rv @ 1K load, 50 C</t>
  </si>
  <si>
    <t>Rv @ 1K load,71 C</t>
  </si>
  <si>
    <r>
      <t>Temperature (Degrees C</t>
    </r>
    <r>
      <rPr>
        <sz val="10"/>
        <color indexed="10"/>
        <rFont val="Arial"/>
        <family val="2"/>
      </rPr>
      <t>)</t>
    </r>
    <r>
      <rPr>
        <sz val="10"/>
        <rFont val="Arial"/>
      </rPr>
      <t>: 23 deg data is the  Output Voltage measured. At beginning and end of test cycle. Data was copied from previous worksheet (Detector Prototype data average)</t>
    </r>
  </si>
  <si>
    <t>Pwr Lvl (dBm)</t>
  </si>
  <si>
    <t>Load Resistor</t>
  </si>
  <si>
    <t>Rvideo @ 5K load,      -22 deg C</t>
  </si>
  <si>
    <t>Rvideo @ 5K load, 0 deg C</t>
  </si>
  <si>
    <t>Rvideo @ 5K load, 23 deg C</t>
  </si>
  <si>
    <t>Rvideo @ 5K load, 50 deg C</t>
  </si>
  <si>
    <t>Rvideo @ 5K load,71 deg C</t>
  </si>
  <si>
    <t>Calculated Vout as Load resistance is changed to temperature comp values</t>
  </si>
  <si>
    <t>Calculated drift (dB) @ new R load)</t>
  </si>
  <si>
    <t>Vout @ -22 deg (V)</t>
  </si>
  <si>
    <t>Vout @ 0deg (V)</t>
  </si>
  <si>
    <t>Drfit @ -22 deg (dB)</t>
  </si>
  <si>
    <t>Drfit @ 0 deg (dB)</t>
  </si>
  <si>
    <t>Drfit @23 deg (dB)</t>
  </si>
  <si>
    <t>Drfit @ 50 deg (dB)</t>
  </si>
  <si>
    <t>Drfit @ 71 deg (dB)</t>
  </si>
  <si>
    <t>Detector Load resis (Kohms):</t>
  </si>
  <si>
    <t>Scratch pad: Change load resistance here and watch thermal drift change</t>
  </si>
  <si>
    <r>
      <t>Load Resistance</t>
    </r>
    <r>
      <rPr>
        <sz val="10"/>
        <rFont val="Arial"/>
      </rPr>
      <t xml:space="preserve"> with Thermistors:</t>
    </r>
  </si>
  <si>
    <t>Operating Temperature (deg C):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</si>
</sst>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"/>
  </numFmts>
  <fonts count="9">
    <font>
      <sz val="10"/>
      <name val="Arial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14"/>
      <color indexed="10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0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DashDot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 style="double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center" wrapText="1"/>
    </xf>
    <xf numFmtId="165" fontId="0" fillId="0" borderId="8" xfId="0" applyNumberFormat="1" applyBorder="1" applyAlignment="1">
      <alignment horizontal="center" wrapText="1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/>
    <xf numFmtId="2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9" xfId="0" applyBorder="1" applyAlignment="1">
      <alignment horizontal="center" wrapText="1"/>
    </xf>
    <xf numFmtId="165" fontId="0" fillId="0" borderId="9" xfId="0" applyNumberFormat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/>
    <xf numFmtId="165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right"/>
    </xf>
    <xf numFmtId="0" fontId="0" fillId="0" borderId="22" xfId="0" applyBorder="1"/>
    <xf numFmtId="165" fontId="0" fillId="0" borderId="22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5" xfId="0" applyBorder="1"/>
    <xf numFmtId="165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 wrapText="1"/>
    </xf>
    <xf numFmtId="2" fontId="0" fillId="0" borderId="28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165" fontId="0" fillId="0" borderId="31" xfId="0" applyNumberFormat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right"/>
    </xf>
    <xf numFmtId="2" fontId="0" fillId="0" borderId="1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36" xfId="0" applyFont="1" applyBorder="1" applyAlignment="1">
      <alignment horizontal="right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2" fontId="0" fillId="0" borderId="36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3" fillId="0" borderId="14" xfId="0" applyFont="1" applyBorder="1" applyAlignment="1">
      <alignment horizontal="right"/>
    </xf>
    <xf numFmtId="0" fontId="0" fillId="0" borderId="42" xfId="0" applyBorder="1"/>
    <xf numFmtId="0" fontId="0" fillId="0" borderId="43" xfId="0" applyBorder="1"/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5" fontId="0" fillId="0" borderId="34" xfId="0" applyNumberFormat="1" applyBorder="1" applyAlignment="1">
      <alignment horizontal="center" wrapText="1"/>
    </xf>
    <xf numFmtId="0" fontId="0" fillId="0" borderId="33" xfId="0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165" fontId="0" fillId="0" borderId="44" xfId="0" applyNumberFormat="1" applyBorder="1" applyAlignment="1">
      <alignment horizontal="center"/>
    </xf>
    <xf numFmtId="165" fontId="0" fillId="0" borderId="45" xfId="0" applyNumberFormat="1" applyBorder="1" applyAlignment="1">
      <alignment horizontal="center"/>
    </xf>
    <xf numFmtId="165" fontId="0" fillId="0" borderId="46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Fill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1" xfId="0" applyFill="1" applyBorder="1" applyAlignment="1">
      <alignment horizontal="center" wrapText="1"/>
    </xf>
    <xf numFmtId="0" fontId="0" fillId="2" borderId="52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53" xfId="0" applyFill="1" applyBorder="1" applyAlignment="1">
      <alignment horizontal="center" wrapText="1"/>
    </xf>
    <xf numFmtId="0" fontId="0" fillId="2" borderId="54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5" xfId="0" applyFill="1" applyBorder="1" applyAlignment="1">
      <alignment horizontal="center" wrapText="1"/>
    </xf>
    <xf numFmtId="0" fontId="0" fillId="2" borderId="56" xfId="0" applyFill="1" applyBorder="1" applyAlignment="1">
      <alignment horizontal="center" wrapText="1"/>
    </xf>
    <xf numFmtId="0" fontId="0" fillId="2" borderId="57" xfId="0" applyFill="1" applyBorder="1" applyAlignment="1">
      <alignment horizontal="right"/>
    </xf>
    <xf numFmtId="0" fontId="0" fillId="2" borderId="58" xfId="0" applyFill="1" applyBorder="1"/>
    <xf numFmtId="2" fontId="0" fillId="2" borderId="59" xfId="0" applyNumberFormat="1" applyFill="1" applyBorder="1" applyAlignment="1">
      <alignment horizontal="center"/>
    </xf>
    <xf numFmtId="2" fontId="0" fillId="2" borderId="60" xfId="0" applyNumberFormat="1" applyFill="1" applyBorder="1" applyAlignment="1">
      <alignment horizontal="center"/>
    </xf>
    <xf numFmtId="0" fontId="0" fillId="2" borderId="61" xfId="0" applyFill="1" applyBorder="1" applyAlignment="1">
      <alignment horizontal="right"/>
    </xf>
    <xf numFmtId="0" fontId="0" fillId="2" borderId="23" xfId="0" applyFill="1" applyBorder="1"/>
    <xf numFmtId="2" fontId="0" fillId="2" borderId="62" xfId="0" applyNumberFormat="1" applyFill="1" applyBorder="1" applyAlignment="1">
      <alignment horizontal="center"/>
    </xf>
    <xf numFmtId="2" fontId="0" fillId="2" borderId="63" xfId="0" applyNumberFormat="1" applyFill="1" applyBorder="1" applyAlignment="1">
      <alignment horizontal="center"/>
    </xf>
    <xf numFmtId="0" fontId="3" fillId="2" borderId="61" xfId="0" applyFont="1" applyFill="1" applyBorder="1" applyAlignment="1">
      <alignment horizontal="right"/>
    </xf>
    <xf numFmtId="0" fontId="0" fillId="2" borderId="61" xfId="0" applyFill="1" applyBorder="1"/>
    <xf numFmtId="0" fontId="0" fillId="2" borderId="62" xfId="0" applyFill="1" applyBorder="1"/>
    <xf numFmtId="0" fontId="0" fillId="2" borderId="63" xfId="0" applyFill="1" applyBorder="1"/>
    <xf numFmtId="0" fontId="0" fillId="2" borderId="1" xfId="0" applyFill="1" applyBorder="1" applyAlignment="1">
      <alignment horizontal="right"/>
    </xf>
    <xf numFmtId="0" fontId="0" fillId="2" borderId="53" xfId="0" applyFill="1" applyBorder="1"/>
    <xf numFmtId="2" fontId="0" fillId="2" borderId="64" xfId="0" applyNumberFormat="1" applyFill="1" applyBorder="1" applyAlignment="1">
      <alignment horizontal="center"/>
    </xf>
    <xf numFmtId="2" fontId="0" fillId="2" borderId="56" xfId="0" applyNumberFormat="1" applyFill="1" applyBorder="1" applyAlignment="1">
      <alignment horizontal="center"/>
    </xf>
    <xf numFmtId="2" fontId="0" fillId="2" borderId="65" xfId="0" applyNumberFormat="1" applyFill="1" applyBorder="1" applyAlignment="1">
      <alignment horizontal="center"/>
    </xf>
    <xf numFmtId="165" fontId="0" fillId="2" borderId="65" xfId="0" applyNumberFormat="1" applyFill="1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165" fontId="0" fillId="2" borderId="22" xfId="0" applyNumberFormat="1" applyFill="1" applyBorder="1" applyAlignment="1">
      <alignment horizontal="center"/>
    </xf>
    <xf numFmtId="0" fontId="0" fillId="2" borderId="22" xfId="0" applyFill="1" applyBorder="1"/>
    <xf numFmtId="165" fontId="0" fillId="2" borderId="22" xfId="0" applyNumberFormat="1" applyFill="1" applyBorder="1"/>
    <xf numFmtId="164" fontId="0" fillId="2" borderId="22" xfId="0" applyNumberForma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66" xfId="0" applyFill="1" applyBorder="1" applyAlignment="1">
      <alignment horizontal="right"/>
    </xf>
    <xf numFmtId="0" fontId="0" fillId="3" borderId="5" xfId="0" applyFill="1" applyBorder="1"/>
    <xf numFmtId="165" fontId="0" fillId="3" borderId="5" xfId="0" applyNumberFormat="1" applyFill="1" applyBorder="1" applyAlignment="1">
      <alignment horizontal="center"/>
    </xf>
    <xf numFmtId="2" fontId="0" fillId="3" borderId="67" xfId="0" applyNumberFormat="1" applyFill="1" applyBorder="1" applyAlignment="1">
      <alignment horizontal="center"/>
    </xf>
    <xf numFmtId="0" fontId="0" fillId="3" borderId="21" xfId="0" applyFill="1" applyBorder="1" applyAlignment="1">
      <alignment horizontal="right"/>
    </xf>
    <xf numFmtId="0" fontId="0" fillId="3" borderId="22" xfId="0" applyFill="1" applyBorder="1"/>
    <xf numFmtId="165" fontId="0" fillId="3" borderId="22" xfId="0" applyNumberFormat="1" applyFill="1" applyBorder="1" applyAlignment="1">
      <alignment horizontal="center"/>
    </xf>
    <xf numFmtId="2" fontId="0" fillId="3" borderId="68" xfId="0" applyNumberFormat="1" applyFill="1" applyBorder="1" applyAlignment="1">
      <alignment horizontal="center"/>
    </xf>
    <xf numFmtId="0" fontId="3" fillId="3" borderId="21" xfId="0" applyFont="1" applyFill="1" applyBorder="1" applyAlignment="1">
      <alignment horizontal="right"/>
    </xf>
    <xf numFmtId="0" fontId="0" fillId="3" borderId="21" xfId="0" applyFill="1" applyBorder="1"/>
    <xf numFmtId="165" fontId="0" fillId="3" borderId="22" xfId="0" applyNumberFormat="1" applyFill="1" applyBorder="1"/>
    <xf numFmtId="0" fontId="0" fillId="3" borderId="68" xfId="0" applyFill="1" applyBorder="1"/>
    <xf numFmtId="0" fontId="0" fillId="3" borderId="22" xfId="0" applyFill="1" applyBorder="1" applyAlignment="1">
      <alignment horizontal="center" wrapText="1"/>
    </xf>
    <xf numFmtId="165" fontId="0" fillId="3" borderId="22" xfId="0" applyNumberFormat="1" applyFill="1" applyBorder="1" applyAlignment="1">
      <alignment horizontal="center" wrapText="1"/>
    </xf>
    <xf numFmtId="0" fontId="0" fillId="3" borderId="68" xfId="0" applyFill="1" applyBorder="1" applyAlignment="1">
      <alignment horizontal="center" wrapText="1"/>
    </xf>
    <xf numFmtId="0" fontId="0" fillId="3" borderId="14" xfId="0" applyFill="1" applyBorder="1" applyAlignment="1">
      <alignment horizontal="right"/>
    </xf>
    <xf numFmtId="2" fontId="0" fillId="3" borderId="69" xfId="0" applyNumberFormat="1" applyFill="1" applyBorder="1" applyAlignment="1">
      <alignment horizontal="center"/>
    </xf>
    <xf numFmtId="0" fontId="0" fillId="3" borderId="25" xfId="0" applyFill="1" applyBorder="1"/>
    <xf numFmtId="165" fontId="0" fillId="3" borderId="25" xfId="0" applyNumberFormat="1" applyFill="1" applyBorder="1" applyAlignment="1">
      <alignment horizontal="center"/>
    </xf>
    <xf numFmtId="0" fontId="0" fillId="0" borderId="70" xfId="0" applyBorder="1" applyAlignment="1">
      <alignment horizontal="center" wrapText="1"/>
    </xf>
    <xf numFmtId="0" fontId="0" fillId="0" borderId="71" xfId="0" applyBorder="1" applyAlignment="1">
      <alignment horizontal="center" wrapText="1"/>
    </xf>
    <xf numFmtId="2" fontId="0" fillId="0" borderId="72" xfId="0" applyNumberFormat="1" applyBorder="1" applyAlignment="1">
      <alignment horizontal="center" wrapText="1"/>
    </xf>
    <xf numFmtId="2" fontId="0" fillId="0" borderId="73" xfId="0" applyNumberFormat="1" applyBorder="1" applyAlignment="1">
      <alignment horizontal="center" wrapText="1"/>
    </xf>
    <xf numFmtId="2" fontId="0" fillId="0" borderId="74" xfId="0" applyNumberFormat="1" applyBorder="1" applyAlignment="1">
      <alignment horizontal="center"/>
    </xf>
    <xf numFmtId="2" fontId="0" fillId="0" borderId="75" xfId="0" applyNumberFormat="1" applyBorder="1" applyAlignment="1">
      <alignment horizontal="center"/>
    </xf>
    <xf numFmtId="2" fontId="0" fillId="0" borderId="73" xfId="0" applyNumberFormat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6" xfId="0" applyFill="1" applyBorder="1" applyAlignment="1">
      <alignment horizontal="center"/>
    </xf>
    <xf numFmtId="0" fontId="0" fillId="0" borderId="78" xfId="0" applyFill="1" applyBorder="1" applyAlignment="1">
      <alignment horizontal="center"/>
    </xf>
    <xf numFmtId="0" fontId="0" fillId="4" borderId="79" xfId="0" applyFill="1" applyBorder="1" applyAlignment="1">
      <alignment horizontal="center"/>
    </xf>
    <xf numFmtId="0" fontId="0" fillId="4" borderId="80" xfId="0" applyFill="1" applyBorder="1" applyAlignment="1">
      <alignment horizontal="center"/>
    </xf>
    <xf numFmtId="0" fontId="0" fillId="4" borderId="80" xfId="0" applyFill="1" applyBorder="1" applyAlignment="1">
      <alignment horizontal="right"/>
    </xf>
    <xf numFmtId="0" fontId="0" fillId="4" borderId="80" xfId="0" applyFill="1" applyBorder="1" applyAlignment="1"/>
    <xf numFmtId="165" fontId="0" fillId="4" borderId="80" xfId="0" applyNumberFormat="1" applyFill="1" applyBorder="1" applyAlignment="1">
      <alignment horizontal="center"/>
    </xf>
    <xf numFmtId="2" fontId="0" fillId="4" borderId="80" xfId="0" applyNumberFormat="1" applyFill="1" applyBorder="1" applyAlignment="1">
      <alignment horizontal="center"/>
    </xf>
    <xf numFmtId="0" fontId="0" fillId="4" borderId="81" xfId="0" applyFill="1" applyBorder="1" applyAlignment="1">
      <alignment horizontal="center"/>
    </xf>
    <xf numFmtId="0" fontId="0" fillId="4" borderId="82" xfId="0" applyFill="1" applyBorder="1" applyAlignment="1">
      <alignment horizontal="center"/>
    </xf>
    <xf numFmtId="0" fontId="0" fillId="4" borderId="83" xfId="0" applyFill="1" applyBorder="1" applyAlignment="1">
      <alignment horizontal="center"/>
    </xf>
    <xf numFmtId="0" fontId="0" fillId="4" borderId="84" xfId="0" applyFill="1" applyBorder="1" applyAlignment="1">
      <alignment horizontal="center"/>
    </xf>
    <xf numFmtId="0" fontId="0" fillId="4" borderId="85" xfId="0" applyFill="1" applyBorder="1" applyAlignment="1">
      <alignment horizontal="center"/>
    </xf>
    <xf numFmtId="0" fontId="0" fillId="4" borderId="86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7" xfId="0" applyFon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8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89" xfId="0" applyNumberFormat="1" applyBorder="1" applyAlignment="1">
      <alignment horizontal="center"/>
    </xf>
    <xf numFmtId="165" fontId="0" fillId="0" borderId="90" xfId="0" applyNumberFormat="1" applyBorder="1" applyAlignment="1">
      <alignment horizontal="center"/>
    </xf>
    <xf numFmtId="166" fontId="0" fillId="0" borderId="89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0" fontId="0" fillId="0" borderId="92" xfId="0" applyBorder="1" applyAlignment="1">
      <alignment horizontal="center" wrapText="1"/>
    </xf>
    <xf numFmtId="0" fontId="0" fillId="0" borderId="93" xfId="0" applyBorder="1" applyAlignment="1">
      <alignment horizontal="center" wrapText="1"/>
    </xf>
    <xf numFmtId="0" fontId="0" fillId="0" borderId="0" xfId="0" applyBorder="1" applyAlignment="1">
      <alignment horizontal="right"/>
    </xf>
    <xf numFmtId="0" fontId="0" fillId="0" borderId="0" xfId="0" applyAlignment="1"/>
    <xf numFmtId="0" fontId="0" fillId="0" borderId="77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39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88" xfId="0" applyBorder="1" applyAlignment="1"/>
    <xf numFmtId="0" fontId="0" fillId="0" borderId="94" xfId="0" applyBorder="1" applyAlignment="1"/>
    <xf numFmtId="0" fontId="0" fillId="0" borderId="95" xfId="0" applyBorder="1" applyAlignment="1"/>
    <xf numFmtId="0" fontId="1" fillId="3" borderId="38" xfId="0" applyFont="1" applyFill="1" applyBorder="1" applyAlignment="1">
      <alignment horizontal="center" vertical="center" wrapText="1"/>
    </xf>
    <xf numFmtId="0" fontId="0" fillId="3" borderId="70" xfId="0" applyFill="1" applyBorder="1" applyAlignment="1">
      <alignment horizontal="center" vertical="center" wrapText="1"/>
    </xf>
    <xf numFmtId="0" fontId="0" fillId="3" borderId="96" xfId="0" applyFill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8" fillId="0" borderId="99" xfId="0" applyFont="1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100" xfId="0" applyFill="1" applyBorder="1" applyAlignment="1">
      <alignment horizontal="center"/>
    </xf>
    <xf numFmtId="0" fontId="0" fillId="0" borderId="77" xfId="0" applyFill="1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96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2" borderId="9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01" xfId="0" applyFont="1" applyFill="1" applyBorder="1" applyAlignment="1">
      <alignment horizontal="center" wrapText="1"/>
    </xf>
    <xf numFmtId="0" fontId="5" fillId="3" borderId="91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0" borderId="9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7" fillId="0" borderId="101" xfId="0" applyFont="1" applyFill="1" applyBorder="1" applyAlignment="1">
      <alignment horizontal="center" wrapText="1"/>
    </xf>
    <xf numFmtId="0" fontId="0" fillId="0" borderId="102" xfId="0" applyBorder="1" applyAlignment="1">
      <alignment horizontal="center" wrapText="1"/>
    </xf>
    <xf numFmtId="0" fontId="0" fillId="0" borderId="10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10Meg RL</a:t>
            </a:r>
          </a:p>
        </c:rich>
      </c:tx>
      <c:layout>
        <c:manualLayout>
          <c:xMode val="edge"/>
          <c:yMode val="edge"/>
          <c:x val="3.5143769968051117E-2"/>
          <c:y val="1.16279201806869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63897763578275"/>
          <c:y val="9.0697777409358429E-2"/>
          <c:w val="0.87060702875399365"/>
          <c:h val="0.81395441264808854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avg.'!$M$6:$M$19</c:f>
              <c:numCache>
                <c:formatCode>0.00</c:formatCode>
                <c:ptCount val="14"/>
                <c:pt idx="0">
                  <c:v>1.17</c:v>
                </c:pt>
                <c:pt idx="1">
                  <c:v>1.0669999999999999</c:v>
                </c:pt>
                <c:pt idx="2">
                  <c:v>0.98799999999999999</c:v>
                </c:pt>
                <c:pt idx="3">
                  <c:v>0.93100000000000005</c:v>
                </c:pt>
                <c:pt idx="4">
                  <c:v>0.68100000000000005</c:v>
                </c:pt>
                <c:pt idx="5">
                  <c:v>0.72199999999999998</c:v>
                </c:pt>
                <c:pt idx="6">
                  <c:v>0.55300000000000005</c:v>
                </c:pt>
                <c:pt idx="7">
                  <c:v>0.51200000000000001</c:v>
                </c:pt>
                <c:pt idx="8">
                  <c:v>0.58799999999999997</c:v>
                </c:pt>
                <c:pt idx="9">
                  <c:v>0.63395000000000001</c:v>
                </c:pt>
                <c:pt idx="10">
                  <c:v>0.73</c:v>
                </c:pt>
                <c:pt idx="11">
                  <c:v>0.73899999999999999</c:v>
                </c:pt>
                <c:pt idx="12">
                  <c:v>1.0069999999999999</c:v>
                </c:pt>
                <c:pt idx="13">
                  <c:v>1.1080000000000001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DC4-4DA9-ABD1-DF2A7CED0DEB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avg.'!$N$6:$N$19</c:f>
              <c:numCache>
                <c:formatCode>0.00</c:formatCode>
                <c:ptCount val="14"/>
                <c:pt idx="0">
                  <c:v>0.71</c:v>
                </c:pt>
                <c:pt idx="1">
                  <c:v>0.64</c:v>
                </c:pt>
                <c:pt idx="2">
                  <c:v>0.61899999999999999</c:v>
                </c:pt>
                <c:pt idx="3">
                  <c:v>0.60499999999999998</c:v>
                </c:pt>
                <c:pt idx="4">
                  <c:v>0.42799999999999999</c:v>
                </c:pt>
                <c:pt idx="5">
                  <c:v>0.44</c:v>
                </c:pt>
                <c:pt idx="6">
                  <c:v>0.30299999999999999</c:v>
                </c:pt>
                <c:pt idx="7">
                  <c:v>0.34799999999999998</c:v>
                </c:pt>
                <c:pt idx="8">
                  <c:v>0.35799999999999998</c:v>
                </c:pt>
                <c:pt idx="9">
                  <c:v>0.34875</c:v>
                </c:pt>
                <c:pt idx="10">
                  <c:v>0.36</c:v>
                </c:pt>
                <c:pt idx="11">
                  <c:v>0.47699999999999998</c:v>
                </c:pt>
                <c:pt idx="12">
                  <c:v>0.623</c:v>
                </c:pt>
                <c:pt idx="13">
                  <c:v>0.60399999999999998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DC4-4DA9-ABD1-DF2A7CED0DEB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avg.'!$P$6:$P$19</c:f>
              <c:numCache>
                <c:formatCode>0.00</c:formatCode>
                <c:ptCount val="14"/>
                <c:pt idx="0">
                  <c:v>-0.79100000000000004</c:v>
                </c:pt>
                <c:pt idx="1">
                  <c:v>-0.83</c:v>
                </c:pt>
                <c:pt idx="2">
                  <c:v>-0.72299999999999998</c:v>
                </c:pt>
                <c:pt idx="3">
                  <c:v>-0.66200000000000003</c:v>
                </c:pt>
                <c:pt idx="4">
                  <c:v>-0.64900000000000002</c:v>
                </c:pt>
                <c:pt idx="5">
                  <c:v>-0.57999999999999996</c:v>
                </c:pt>
                <c:pt idx="6">
                  <c:v>-0.58199999999999996</c:v>
                </c:pt>
                <c:pt idx="7">
                  <c:v>-0.47699999999999998</c:v>
                </c:pt>
                <c:pt idx="8">
                  <c:v>-0.48799999999999999</c:v>
                </c:pt>
                <c:pt idx="9">
                  <c:v>-0.49135000000000001</c:v>
                </c:pt>
                <c:pt idx="10">
                  <c:v>-0.55700000000000005</c:v>
                </c:pt>
                <c:pt idx="11">
                  <c:v>-0.76200000000000001</c:v>
                </c:pt>
                <c:pt idx="12">
                  <c:v>-0.88</c:v>
                </c:pt>
                <c:pt idx="13">
                  <c:v>-0.85899999999999999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DC4-4DA9-ABD1-DF2A7CED0DEB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tar"/>
            <c:size val="8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avg.'!$Q$6:$Q$19</c:f>
              <c:numCache>
                <c:formatCode>0.00</c:formatCode>
                <c:ptCount val="14"/>
                <c:pt idx="0">
                  <c:v>-1.8560000000000001</c:v>
                </c:pt>
                <c:pt idx="1">
                  <c:v>-1.35</c:v>
                </c:pt>
                <c:pt idx="2">
                  <c:v>-1.294</c:v>
                </c:pt>
                <c:pt idx="3">
                  <c:v>-1.2250000000000001</c:v>
                </c:pt>
                <c:pt idx="4">
                  <c:v>-1.123</c:v>
                </c:pt>
                <c:pt idx="5">
                  <c:v>-1.1299999999999999</c:v>
                </c:pt>
                <c:pt idx="6">
                  <c:v>-1.04</c:v>
                </c:pt>
                <c:pt idx="7">
                  <c:v>-1.004</c:v>
                </c:pt>
                <c:pt idx="8">
                  <c:v>-1.0009999999999999</c:v>
                </c:pt>
                <c:pt idx="9">
                  <c:v>-1.02145</c:v>
                </c:pt>
                <c:pt idx="10">
                  <c:v>-1.25</c:v>
                </c:pt>
                <c:pt idx="11">
                  <c:v>-1.3129999999999999</c:v>
                </c:pt>
                <c:pt idx="12">
                  <c:v>-1.484</c:v>
                </c:pt>
                <c:pt idx="13">
                  <c:v>-0.874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DC4-4DA9-ABD1-DF2A7CED0DEB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8DC4-4DA9-ABD1-DF2A7CED0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9555328"/>
        <c:axId val="1"/>
      </c:scatterChart>
      <c:valAx>
        <c:axId val="1469555328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054313099041534"/>
              <c:y val="0.844187005117874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7.9872204472843447E-3"/>
              <c:y val="0.41162837439631905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9555328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942492012779553"/>
          <c:y val="1.627908825296177E-2"/>
          <c:w val="0.61821086261980829"/>
          <c:h val="6.7441937047984471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&amp;L&amp;F&amp;C&amp;D&amp;R&amp;A</c:oddFooter>
    </c:headerFooter>
    <c:pageMargins b="0.5" l="0" r="0" t="0.25" header="0" footer="0.2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200 K RL</a:t>
            </a:r>
          </a:p>
        </c:rich>
      </c:tx>
      <c:layout>
        <c:manualLayout>
          <c:xMode val="edge"/>
          <c:yMode val="edge"/>
          <c:x val="5.5205089835347429E-2"/>
          <c:y val="1.34770889487870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750855455545964E-2"/>
          <c:y val="9.7035040431266845E-2"/>
          <c:w val="0.88801330220858865"/>
          <c:h val="0.80323450134770891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avg.'!$M$21:$M$34</c:f>
              <c:numCache>
                <c:formatCode>0.00</c:formatCode>
                <c:ptCount val="14"/>
                <c:pt idx="0">
                  <c:v>1.17</c:v>
                </c:pt>
                <c:pt idx="1">
                  <c:v>1.048</c:v>
                </c:pt>
                <c:pt idx="2">
                  <c:v>0.997</c:v>
                </c:pt>
                <c:pt idx="3">
                  <c:v>0.91600000000000004</c:v>
                </c:pt>
                <c:pt idx="4">
                  <c:v>0.64300000000000002</c:v>
                </c:pt>
                <c:pt idx="5">
                  <c:v>0.66300000000000003</c:v>
                </c:pt>
                <c:pt idx="6">
                  <c:v>0.49</c:v>
                </c:pt>
                <c:pt idx="7">
                  <c:v>0.40899999999999997</c:v>
                </c:pt>
                <c:pt idx="8">
                  <c:v>0.40500000000000003</c:v>
                </c:pt>
                <c:pt idx="9">
                  <c:v>0.39116000000000001</c:v>
                </c:pt>
                <c:pt idx="10">
                  <c:v>0.40600000000000003</c:v>
                </c:pt>
                <c:pt idx="11">
                  <c:v>0.36899999999999999</c:v>
                </c:pt>
                <c:pt idx="12">
                  <c:v>0.50800000000000001</c:v>
                </c:pt>
                <c:pt idx="13">
                  <c:v>0.66300000000000003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AA6-40AB-AC25-64C2CF2DB752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avg.'!$N$21:$N$34</c:f>
              <c:numCache>
                <c:formatCode>0.00</c:formatCode>
                <c:ptCount val="14"/>
                <c:pt idx="0">
                  <c:v>0.71</c:v>
                </c:pt>
                <c:pt idx="1">
                  <c:v>0.628</c:v>
                </c:pt>
                <c:pt idx="2">
                  <c:v>0.63200000000000001</c:v>
                </c:pt>
                <c:pt idx="3">
                  <c:v>0.59799999999999998</c:v>
                </c:pt>
                <c:pt idx="4">
                  <c:v>0.40899999999999997</c:v>
                </c:pt>
                <c:pt idx="5">
                  <c:v>0.41599999999999998</c:v>
                </c:pt>
                <c:pt idx="6">
                  <c:v>0.28100000000000003</c:v>
                </c:pt>
                <c:pt idx="7">
                  <c:v>0.31</c:v>
                </c:pt>
                <c:pt idx="8">
                  <c:v>0.29499999999999998</c:v>
                </c:pt>
                <c:pt idx="9">
                  <c:v>0.27257999999999999</c:v>
                </c:pt>
                <c:pt idx="10">
                  <c:v>0.25</c:v>
                </c:pt>
                <c:pt idx="11">
                  <c:v>0.35499999999999998</c:v>
                </c:pt>
                <c:pt idx="12">
                  <c:v>0.48199999999999998</c:v>
                </c:pt>
                <c:pt idx="13">
                  <c:v>0.47899999999999998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AA6-40AB-AC25-64C2CF2DB752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avg.'!$P$21:$P$34</c:f>
              <c:numCache>
                <c:formatCode>0.00</c:formatCode>
                <c:ptCount val="14"/>
                <c:pt idx="0">
                  <c:v>-0.79</c:v>
                </c:pt>
                <c:pt idx="1">
                  <c:v>-0.82399999999999995</c:v>
                </c:pt>
                <c:pt idx="2">
                  <c:v>-0.72299999999999998</c:v>
                </c:pt>
                <c:pt idx="3">
                  <c:v>-0.65100000000000002</c:v>
                </c:pt>
                <c:pt idx="4">
                  <c:v>-0.63400000000000001</c:v>
                </c:pt>
                <c:pt idx="5">
                  <c:v>-0.56399999999999995</c:v>
                </c:pt>
                <c:pt idx="6">
                  <c:v>-0.56999999999999995</c:v>
                </c:pt>
                <c:pt idx="7">
                  <c:v>-0.45</c:v>
                </c:pt>
                <c:pt idx="8">
                  <c:v>-0.46</c:v>
                </c:pt>
                <c:pt idx="9">
                  <c:v>-0.45583999999999997</c:v>
                </c:pt>
                <c:pt idx="10">
                  <c:v>-0.52</c:v>
                </c:pt>
                <c:pt idx="11">
                  <c:v>-0.71799999999999997</c:v>
                </c:pt>
                <c:pt idx="12">
                  <c:v>-0.83399999999999996</c:v>
                </c:pt>
                <c:pt idx="13">
                  <c:v>-0.80600000000000005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AA6-40AB-AC25-64C2CF2DB752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avg.'!$Q$21:$Q$34</c:f>
              <c:numCache>
                <c:formatCode>0.00</c:formatCode>
                <c:ptCount val="14"/>
                <c:pt idx="0">
                  <c:v>-1.851</c:v>
                </c:pt>
                <c:pt idx="1">
                  <c:v>-1.3320000000000001</c:v>
                </c:pt>
                <c:pt idx="2">
                  <c:v>-1.2889999999999999</c:v>
                </c:pt>
                <c:pt idx="3">
                  <c:v>-1.2290000000000001</c:v>
                </c:pt>
                <c:pt idx="4">
                  <c:v>-1.1100000000000001</c:v>
                </c:pt>
                <c:pt idx="5">
                  <c:v>-1.107</c:v>
                </c:pt>
                <c:pt idx="6">
                  <c:v>-1.01</c:v>
                </c:pt>
                <c:pt idx="7">
                  <c:v>-0.97199999999999998</c:v>
                </c:pt>
                <c:pt idx="8">
                  <c:v>-0.96</c:v>
                </c:pt>
                <c:pt idx="9">
                  <c:v>-0.97174000000000005</c:v>
                </c:pt>
                <c:pt idx="10">
                  <c:v>-1.194</c:v>
                </c:pt>
                <c:pt idx="11">
                  <c:v>-1.254</c:v>
                </c:pt>
                <c:pt idx="12">
                  <c:v>-1.4219999999999999</c:v>
                </c:pt>
                <c:pt idx="13">
                  <c:v>-0.81299999999999994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AA6-40AB-AC25-64C2CF2DB752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5AA6-40AB-AC25-64C2CF2DB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9862944"/>
        <c:axId val="1"/>
      </c:scatterChart>
      <c:valAx>
        <c:axId val="1469862944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482681790561071"/>
              <c:y val="0.843665768194070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1041017967069485E-2"/>
              <c:y val="0.4097035040431266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9862944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804443978925332"/>
          <c:y val="1.3477088948787063E-2"/>
          <c:w val="0.61041056475084154"/>
          <c:h val="7.8167115902964962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50 K RL</a:t>
            </a:r>
          </a:p>
        </c:rich>
      </c:tx>
      <c:layout>
        <c:manualLayout>
          <c:xMode val="edge"/>
          <c:yMode val="edge"/>
          <c:x val="5.8917243261441377E-2"/>
          <c:y val="1.34048432850767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79685929169621E-2"/>
          <c:y val="9.651487165255275E-2"/>
          <c:w val="0.88694336477359048"/>
          <c:h val="0.80429059710460626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avg.'!$K$21:$K$34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avg.'!$M$36:$M$49</c:f>
              <c:numCache>
                <c:formatCode>0.00</c:formatCode>
                <c:ptCount val="14"/>
                <c:pt idx="0">
                  <c:v>1.157</c:v>
                </c:pt>
                <c:pt idx="1">
                  <c:v>1.0189999999999999</c:v>
                </c:pt>
                <c:pt idx="2">
                  <c:v>0.96</c:v>
                </c:pt>
                <c:pt idx="3">
                  <c:v>0.85099999999999998</c:v>
                </c:pt>
                <c:pt idx="4">
                  <c:v>0.56000000000000005</c:v>
                </c:pt>
                <c:pt idx="5">
                  <c:v>0.53</c:v>
                </c:pt>
                <c:pt idx="6">
                  <c:v>0.35199999999999998</c:v>
                </c:pt>
                <c:pt idx="7">
                  <c:v>0.20399999999999999</c:v>
                </c:pt>
                <c:pt idx="8">
                  <c:v>8.7999999999999995E-2</c:v>
                </c:pt>
                <c:pt idx="9">
                  <c:v>-3.5074999999999995E-2</c:v>
                </c:pt>
                <c:pt idx="10">
                  <c:v>-0.217</c:v>
                </c:pt>
                <c:pt idx="11">
                  <c:v>-0.41299999999999998</c:v>
                </c:pt>
                <c:pt idx="12">
                  <c:v>-0.59199999999999997</c:v>
                </c:pt>
                <c:pt idx="13">
                  <c:v>-0.36599999999999999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279-42E5-B89E-54DC8FD19722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avg.'!$K$21:$K$34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avg.'!$N$36:$N$49</c:f>
              <c:numCache>
                <c:formatCode>0.00</c:formatCode>
                <c:ptCount val="14"/>
                <c:pt idx="0">
                  <c:v>0.7</c:v>
                </c:pt>
                <c:pt idx="1">
                  <c:v>0.61699999999999999</c:v>
                </c:pt>
                <c:pt idx="2">
                  <c:v>0.61399999999999999</c:v>
                </c:pt>
                <c:pt idx="3">
                  <c:v>0.57199999999999995</c:v>
                </c:pt>
                <c:pt idx="4">
                  <c:v>0.377</c:v>
                </c:pt>
                <c:pt idx="5">
                  <c:v>0.35399999999999998</c:v>
                </c:pt>
                <c:pt idx="6">
                  <c:v>0.216</c:v>
                </c:pt>
                <c:pt idx="7">
                  <c:v>0.217</c:v>
                </c:pt>
                <c:pt idx="8">
                  <c:v>0.16300000000000001</c:v>
                </c:pt>
                <c:pt idx="9">
                  <c:v>0.1037</c:v>
                </c:pt>
                <c:pt idx="10">
                  <c:v>-4.0000000000000001E-3</c:v>
                </c:pt>
                <c:pt idx="11">
                  <c:v>4.7E-2</c:v>
                </c:pt>
                <c:pt idx="12">
                  <c:v>0.11</c:v>
                </c:pt>
                <c:pt idx="13">
                  <c:v>0.14299999999999999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279-42E5-B89E-54DC8FD19722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'Detector Prototype data avg.'!$K$21:$K$34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avg.'!$P$36:$P$49</c:f>
              <c:numCache>
                <c:formatCode>0.00</c:formatCode>
                <c:ptCount val="14"/>
                <c:pt idx="0">
                  <c:v>-0.78</c:v>
                </c:pt>
                <c:pt idx="1">
                  <c:v>-0.81799999999999995</c:v>
                </c:pt>
                <c:pt idx="2">
                  <c:v>-0.69799999999999995</c:v>
                </c:pt>
                <c:pt idx="3">
                  <c:v>-0.623</c:v>
                </c:pt>
                <c:pt idx="4">
                  <c:v>-0.60399999999999998</c:v>
                </c:pt>
                <c:pt idx="5">
                  <c:v>-0.53</c:v>
                </c:pt>
                <c:pt idx="6">
                  <c:v>-0.53</c:v>
                </c:pt>
                <c:pt idx="7">
                  <c:v>-0.4</c:v>
                </c:pt>
                <c:pt idx="8">
                  <c:v>-0.39</c:v>
                </c:pt>
                <c:pt idx="9">
                  <c:v>-0.37209999999999999</c:v>
                </c:pt>
                <c:pt idx="10">
                  <c:v>-0.40899999999999997</c:v>
                </c:pt>
                <c:pt idx="11">
                  <c:v>-0.60199999999999998</c:v>
                </c:pt>
                <c:pt idx="12">
                  <c:v>-0.69599999999999995</c:v>
                </c:pt>
                <c:pt idx="13">
                  <c:v>-0.68100000000000005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279-42E5-B89E-54DC8FD19722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xVal>
            <c:numRef>
              <c:f>'Detector Prototype data avg.'!$K$21:$K$34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avg.'!$Q$36:$Q$49</c:f>
              <c:numCache>
                <c:formatCode>0.00</c:formatCode>
                <c:ptCount val="14"/>
                <c:pt idx="0">
                  <c:v>-1.84</c:v>
                </c:pt>
                <c:pt idx="1">
                  <c:v>-1.306</c:v>
                </c:pt>
                <c:pt idx="2">
                  <c:v>-1.26</c:v>
                </c:pt>
                <c:pt idx="3">
                  <c:v>-1.19</c:v>
                </c:pt>
                <c:pt idx="4">
                  <c:v>-1.0660000000000001</c:v>
                </c:pt>
                <c:pt idx="5">
                  <c:v>-1.05</c:v>
                </c:pt>
                <c:pt idx="6">
                  <c:v>-0.95499999999999996</c:v>
                </c:pt>
                <c:pt idx="7">
                  <c:v>-0.89</c:v>
                </c:pt>
                <c:pt idx="8">
                  <c:v>-0.85</c:v>
                </c:pt>
                <c:pt idx="9">
                  <c:v>-0.85094999999999998</c:v>
                </c:pt>
                <c:pt idx="10">
                  <c:v>-1.0449999999999999</c:v>
                </c:pt>
                <c:pt idx="11">
                  <c:v>-1.0920000000000001</c:v>
                </c:pt>
                <c:pt idx="12">
                  <c:v>-1.2330000000000001</c:v>
                </c:pt>
                <c:pt idx="13">
                  <c:v>-0.63800000000000001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279-42E5-B89E-54DC8FD19722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E279-42E5-B89E-54DC8FD19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0177088"/>
        <c:axId val="1"/>
      </c:scatterChart>
      <c:valAx>
        <c:axId val="1470177088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401306075607458"/>
              <c:y val="0.8418241583028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1146505481894315E-2"/>
              <c:y val="0.4101882045233491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0177088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828053334660298"/>
          <c:y val="1.3404843285076771E-2"/>
          <c:w val="0.61624251735615709"/>
          <c:h val="7.7748091053445267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20 K RL</a:t>
            </a:r>
          </a:p>
        </c:rich>
      </c:tx>
      <c:layout>
        <c:manualLayout>
          <c:xMode val="edge"/>
          <c:yMode val="edge"/>
          <c:x val="5.8917243261441377E-2"/>
          <c:y val="1.35135313470377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802612151214913E-2"/>
          <c:y val="9.7297425698672002E-2"/>
          <c:w val="0.89331279647753015"/>
          <c:h val="0.80540646828345164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avg.'!$K$51:$K$64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avg.'!$M$51:$M$64</c:f>
              <c:numCache>
                <c:formatCode>0.00</c:formatCode>
                <c:ptCount val="14"/>
                <c:pt idx="0">
                  <c:v>1.127</c:v>
                </c:pt>
                <c:pt idx="1">
                  <c:v>0.97399999999999998</c:v>
                </c:pt>
                <c:pt idx="2">
                  <c:v>0.84099999999999997</c:v>
                </c:pt>
                <c:pt idx="3">
                  <c:v>0.77600000000000002</c:v>
                </c:pt>
                <c:pt idx="4">
                  <c:v>0.44600000000000001</c:v>
                </c:pt>
                <c:pt idx="5">
                  <c:v>0.375</c:v>
                </c:pt>
                <c:pt idx="6">
                  <c:v>0.2</c:v>
                </c:pt>
                <c:pt idx="7">
                  <c:v>-2E-3</c:v>
                </c:pt>
                <c:pt idx="8">
                  <c:v>-0.21299999999999999</c:v>
                </c:pt>
                <c:pt idx="9">
                  <c:v>-0.43805999999999995</c:v>
                </c:pt>
                <c:pt idx="10">
                  <c:v>-0.875</c:v>
                </c:pt>
                <c:pt idx="11">
                  <c:v>-1.335</c:v>
                </c:pt>
                <c:pt idx="12">
                  <c:v>-1.978</c:v>
                </c:pt>
                <c:pt idx="13">
                  <c:v>-1.694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F7A-4B71-AA19-E63BF101B8F9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avg.'!$N$51:$N$64</c:f>
              <c:numCache>
                <c:formatCode>0.00</c:formatCode>
                <c:ptCount val="14"/>
                <c:pt idx="0">
                  <c:v>0.68</c:v>
                </c:pt>
                <c:pt idx="1">
                  <c:v>0.58599999999999997</c:v>
                </c:pt>
                <c:pt idx="2">
                  <c:v>0.53600000000000003</c:v>
                </c:pt>
                <c:pt idx="3">
                  <c:v>0.54</c:v>
                </c:pt>
                <c:pt idx="4">
                  <c:v>0.32100000000000001</c:v>
                </c:pt>
                <c:pt idx="5">
                  <c:v>0.27600000000000002</c:v>
                </c:pt>
                <c:pt idx="6">
                  <c:v>0.13300000000000001</c:v>
                </c:pt>
                <c:pt idx="7">
                  <c:v>0.104</c:v>
                </c:pt>
                <c:pt idx="8">
                  <c:v>3.0000000000000001E-3</c:v>
                </c:pt>
                <c:pt idx="9">
                  <c:v>-9.536E-2</c:v>
                </c:pt>
                <c:pt idx="10">
                  <c:v>-0.32700000000000001</c:v>
                </c:pt>
                <c:pt idx="11">
                  <c:v>-0.374</c:v>
                </c:pt>
                <c:pt idx="12">
                  <c:v>-0.44</c:v>
                </c:pt>
                <c:pt idx="13">
                  <c:v>-0.35799999999999998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F7A-4B71-AA19-E63BF101B8F9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avg.'!$P$51:$P$64</c:f>
              <c:numCache>
                <c:formatCode>0.00</c:formatCode>
                <c:ptCount val="14"/>
                <c:pt idx="0">
                  <c:v>-0.77</c:v>
                </c:pt>
                <c:pt idx="1">
                  <c:v>-0.8</c:v>
                </c:pt>
                <c:pt idx="2">
                  <c:v>-0.66500000000000004</c:v>
                </c:pt>
                <c:pt idx="3">
                  <c:v>-0.57999999999999996</c:v>
                </c:pt>
                <c:pt idx="4">
                  <c:v>-0.55400000000000005</c:v>
                </c:pt>
                <c:pt idx="5">
                  <c:v>-0.46600000000000003</c:v>
                </c:pt>
                <c:pt idx="6">
                  <c:v>-0.47</c:v>
                </c:pt>
                <c:pt idx="7">
                  <c:v>-0.32300000000000001</c:v>
                </c:pt>
                <c:pt idx="8">
                  <c:v>-0.27700000000000002</c:v>
                </c:pt>
                <c:pt idx="9">
                  <c:v>-0.23988999999999999</c:v>
                </c:pt>
                <c:pt idx="10">
                  <c:v>-0.23899999999999999</c:v>
                </c:pt>
                <c:pt idx="11">
                  <c:v>-0.40600000000000003</c:v>
                </c:pt>
                <c:pt idx="12">
                  <c:v>-0.45</c:v>
                </c:pt>
                <c:pt idx="13">
                  <c:v>-0.45600000000000002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F7A-4B71-AA19-E63BF101B8F9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xVal>
            <c:numRef>
              <c:f>'Detector Prototype data avg.'!$K$6:$K$19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avg.'!$Q$51:$Q$64</c:f>
              <c:numCache>
                <c:formatCode>0.00</c:formatCode>
                <c:ptCount val="14"/>
                <c:pt idx="0">
                  <c:v>-1.806</c:v>
                </c:pt>
                <c:pt idx="1">
                  <c:v>-1.28</c:v>
                </c:pt>
                <c:pt idx="2">
                  <c:v>-1.2050000000000001</c:v>
                </c:pt>
                <c:pt idx="3">
                  <c:v>-1.115</c:v>
                </c:pt>
                <c:pt idx="4">
                  <c:v>-0.99099999999999999</c:v>
                </c:pt>
                <c:pt idx="5">
                  <c:v>-0.95499999999999996</c:v>
                </c:pt>
                <c:pt idx="6">
                  <c:v>-0.86</c:v>
                </c:pt>
                <c:pt idx="7">
                  <c:v>-0.76500000000000001</c:v>
                </c:pt>
                <c:pt idx="8">
                  <c:v>-0.68700000000000006</c:v>
                </c:pt>
                <c:pt idx="9">
                  <c:v>-0.65559999999999996</c:v>
                </c:pt>
                <c:pt idx="10">
                  <c:v>-0.79800000000000004</c:v>
                </c:pt>
                <c:pt idx="11">
                  <c:v>-0.81299999999999994</c:v>
                </c:pt>
                <c:pt idx="12">
                  <c:v>-0.9</c:v>
                </c:pt>
                <c:pt idx="13">
                  <c:v>-0.33600000000000002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F7A-4B71-AA19-E63BF101B8F9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FF7A-4B71-AA19-E63BF101B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0178528"/>
        <c:axId val="1"/>
      </c:scatterChart>
      <c:valAx>
        <c:axId val="1470178528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560541868205947"/>
              <c:y val="0.8432443560551573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2738863407879218E-2"/>
              <c:y val="0.42162217802757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0178528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668817542061809"/>
          <c:y val="1.3513531347037779E-2"/>
          <c:w val="0.61624251735615709"/>
          <c:h val="7.8378481812819117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10 K RL</a:t>
            </a:r>
          </a:p>
        </c:rich>
      </c:tx>
      <c:layout>
        <c:manualLayout>
          <c:xMode val="edge"/>
          <c:yMode val="edge"/>
          <c:x val="5.8917243261441377E-2"/>
          <c:y val="1.34770889487870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79685929169621E-2"/>
          <c:y val="9.9730458221024262E-2"/>
          <c:w val="0.88694336477359048"/>
          <c:h val="0.80053908355795145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avg.'!$K$66:$K$79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avg.'!$M$66:$M$79</c:f>
              <c:numCache>
                <c:formatCode>0.00</c:formatCode>
                <c:ptCount val="14"/>
                <c:pt idx="0">
                  <c:v>1.0860000000000001</c:v>
                </c:pt>
                <c:pt idx="1">
                  <c:v>0.91300000000000003</c:v>
                </c:pt>
                <c:pt idx="2">
                  <c:v>0.72299999999999998</c:v>
                </c:pt>
                <c:pt idx="3">
                  <c:v>0.70099999999999996</c:v>
                </c:pt>
                <c:pt idx="4">
                  <c:v>0.32800000000000001</c:v>
                </c:pt>
                <c:pt idx="5">
                  <c:v>0.23499999999999999</c:v>
                </c:pt>
                <c:pt idx="6">
                  <c:v>6.9000000000000006E-2</c:v>
                </c:pt>
                <c:pt idx="7">
                  <c:v>-0.154</c:v>
                </c:pt>
                <c:pt idx="8">
                  <c:v>-0.42299999999999999</c:v>
                </c:pt>
                <c:pt idx="9">
                  <c:v>-0.72789999999999999</c:v>
                </c:pt>
                <c:pt idx="10">
                  <c:v>-1.413</c:v>
                </c:pt>
                <c:pt idx="11">
                  <c:v>-2.1779999999999999</c:v>
                </c:pt>
                <c:pt idx="12">
                  <c:v>-3.2890000000000001</c:v>
                </c:pt>
                <c:pt idx="13">
                  <c:v>-2.9580000000000002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CA9-428E-B5BD-4EC8D709FF74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avg.'!$K$66:$K$79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avg.'!$N$66:$N$79</c:f>
              <c:numCache>
                <c:formatCode>0.00</c:formatCode>
                <c:ptCount val="14"/>
                <c:pt idx="0">
                  <c:v>0.66400000000000003</c:v>
                </c:pt>
                <c:pt idx="1">
                  <c:v>0.55300000000000005</c:v>
                </c:pt>
                <c:pt idx="2">
                  <c:v>0.48599999999999999</c:v>
                </c:pt>
                <c:pt idx="3">
                  <c:v>0.499</c:v>
                </c:pt>
                <c:pt idx="4">
                  <c:v>0.25900000000000001</c:v>
                </c:pt>
                <c:pt idx="5">
                  <c:v>0.19500000000000001</c:v>
                </c:pt>
                <c:pt idx="6">
                  <c:v>5.5E-2</c:v>
                </c:pt>
                <c:pt idx="7">
                  <c:v>0.01</c:v>
                </c:pt>
                <c:pt idx="8">
                  <c:v>-0.122</c:v>
                </c:pt>
                <c:pt idx="9">
                  <c:v>-0.26100000000000001</c:v>
                </c:pt>
                <c:pt idx="10">
                  <c:v>-0.623</c:v>
                </c:pt>
                <c:pt idx="11">
                  <c:v>-0.79500000000000004</c:v>
                </c:pt>
                <c:pt idx="12">
                  <c:v>-1.0289999999999999</c:v>
                </c:pt>
                <c:pt idx="13">
                  <c:v>-0.91300000000000003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CA9-428E-B5BD-4EC8D709FF74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avg.'!$K$66:$K$79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avg.'!$P$66:$P$79</c:f>
              <c:numCache>
                <c:formatCode>0.00</c:formatCode>
                <c:ptCount val="14"/>
                <c:pt idx="0">
                  <c:v>-0.74</c:v>
                </c:pt>
                <c:pt idx="1">
                  <c:v>-0.75</c:v>
                </c:pt>
                <c:pt idx="2">
                  <c:v>-0.61199999999999999</c:v>
                </c:pt>
                <c:pt idx="3">
                  <c:v>-0.53</c:v>
                </c:pt>
                <c:pt idx="4">
                  <c:v>-0.5</c:v>
                </c:pt>
                <c:pt idx="5">
                  <c:v>-0.39800000000000002</c:v>
                </c:pt>
                <c:pt idx="6">
                  <c:v>-0.39900000000000002</c:v>
                </c:pt>
                <c:pt idx="7">
                  <c:v>-0.23599999999999999</c:v>
                </c:pt>
                <c:pt idx="8">
                  <c:v>-0.16300000000000001</c:v>
                </c:pt>
                <c:pt idx="9">
                  <c:v>-9.8600000000000007E-2</c:v>
                </c:pt>
                <c:pt idx="10">
                  <c:v>-4.1000000000000002E-2</c:v>
                </c:pt>
                <c:pt idx="11">
                  <c:v>-0.16200000000000001</c:v>
                </c:pt>
                <c:pt idx="12">
                  <c:v>-0.13300000000000001</c:v>
                </c:pt>
                <c:pt idx="13">
                  <c:v>-0.16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CA9-428E-B5BD-4EC8D709FF74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tar"/>
            <c:size val="8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'Detector Prototype data avg.'!$K$66:$K$79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avg.'!$Q$66:$Q$79</c:f>
              <c:numCache>
                <c:formatCode>0.00</c:formatCode>
                <c:ptCount val="14"/>
                <c:pt idx="0">
                  <c:v>-1.75</c:v>
                </c:pt>
                <c:pt idx="1">
                  <c:v>-1.222</c:v>
                </c:pt>
                <c:pt idx="2">
                  <c:v>-1.0980000000000001</c:v>
                </c:pt>
                <c:pt idx="3">
                  <c:v>-1.0269999999999999</c:v>
                </c:pt>
                <c:pt idx="4">
                  <c:v>-0.9</c:v>
                </c:pt>
                <c:pt idx="5">
                  <c:v>-0.83899999999999997</c:v>
                </c:pt>
                <c:pt idx="6">
                  <c:v>-0.747</c:v>
                </c:pt>
                <c:pt idx="7">
                  <c:v>-0.626</c:v>
                </c:pt>
                <c:pt idx="8">
                  <c:v>-0.503</c:v>
                </c:pt>
                <c:pt idx="9">
                  <c:v>-0.43209999999999998</c:v>
                </c:pt>
                <c:pt idx="10">
                  <c:v>-0.499</c:v>
                </c:pt>
                <c:pt idx="11">
                  <c:v>-0.46200000000000002</c:v>
                </c:pt>
                <c:pt idx="12">
                  <c:v>-0.44900000000000001</c:v>
                </c:pt>
                <c:pt idx="13">
                  <c:v>7.8E-2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CA9-428E-B5BD-4EC8D709FF74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0CA9-428E-B5BD-4EC8D709F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0388288"/>
        <c:axId val="1"/>
      </c:scatterChart>
      <c:valAx>
        <c:axId val="1470388288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401306075607458"/>
              <c:y val="0.843665768194070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1146505481894315E-2"/>
              <c:y val="0.4097035040431266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0388288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668817542061809"/>
          <c:y val="1.3477088948787063E-2"/>
          <c:w val="0.61624251735615709"/>
          <c:h val="7.8167115902964962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&amp;L&amp;F&amp;C&amp;D&amp;R&amp;A</c:oddFooter>
    </c:headerFooter>
    <c:pageMargins b="0.5" l="0" r="0" t="0.25" header="0" footer="0.2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5 K RL</a:t>
            </a:r>
          </a:p>
        </c:rich>
      </c:tx>
      <c:layout>
        <c:manualLayout>
          <c:xMode val="edge"/>
          <c:yMode val="edge"/>
          <c:x val="6.5286674965380986E-2"/>
          <c:y val="1.34408954996626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79685929169621E-2"/>
          <c:y val="9.6774447597571187E-2"/>
          <c:w val="0.88694336477359048"/>
          <c:h val="0.80376555087982737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avg.'!$K$81:$K$94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avg.'!$M$81:$M$94</c:f>
              <c:numCache>
                <c:formatCode>0.00</c:formatCode>
                <c:ptCount val="14"/>
                <c:pt idx="0">
                  <c:v>1.0109999999999999</c:v>
                </c:pt>
                <c:pt idx="1">
                  <c:v>0.78100000000000003</c:v>
                </c:pt>
                <c:pt idx="2">
                  <c:v>0.60799999999999998</c:v>
                </c:pt>
                <c:pt idx="3">
                  <c:v>0.55800000000000005</c:v>
                </c:pt>
                <c:pt idx="4">
                  <c:v>0.19800000000000001</c:v>
                </c:pt>
                <c:pt idx="5">
                  <c:v>9.6000000000000002E-2</c:v>
                </c:pt>
                <c:pt idx="6">
                  <c:v>-5.2999999999999999E-2</c:v>
                </c:pt>
                <c:pt idx="7">
                  <c:v>-0.28599999999999998</c:v>
                </c:pt>
                <c:pt idx="8">
                  <c:v>-0.59599999999999997</c:v>
                </c:pt>
                <c:pt idx="9">
                  <c:v>-0.96882999999999986</c:v>
                </c:pt>
                <c:pt idx="10">
                  <c:v>-1.92</c:v>
                </c:pt>
                <c:pt idx="11">
                  <c:v>-3.048</c:v>
                </c:pt>
                <c:pt idx="12">
                  <c:v>-4.6719999999999997</c:v>
                </c:pt>
                <c:pt idx="13">
                  <c:v>-4.2889999999999997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82E-46F9-914B-16DA5C459EFD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avg.'!$K$81:$K$94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avg.'!$N$81:$N$94</c:f>
              <c:numCache>
                <c:formatCode>0.00</c:formatCode>
                <c:ptCount val="14"/>
                <c:pt idx="0">
                  <c:v>0.623</c:v>
                </c:pt>
                <c:pt idx="1">
                  <c:v>0.498</c:v>
                </c:pt>
                <c:pt idx="2">
                  <c:v>0.42299999999999999</c:v>
                </c:pt>
                <c:pt idx="3">
                  <c:v>0.41199999999999998</c:v>
                </c:pt>
                <c:pt idx="4">
                  <c:v>0.185</c:v>
                </c:pt>
                <c:pt idx="5">
                  <c:v>0.104</c:v>
                </c:pt>
                <c:pt idx="6">
                  <c:v>-2.5999999999999999E-2</c:v>
                </c:pt>
                <c:pt idx="7">
                  <c:v>-8.2000000000000003E-2</c:v>
                </c:pt>
                <c:pt idx="8">
                  <c:v>-0.23699999999999999</c:v>
                </c:pt>
                <c:pt idx="9">
                  <c:v>-0.41282999999999997</c:v>
                </c:pt>
                <c:pt idx="10">
                  <c:v>-0.92300000000000004</c:v>
                </c:pt>
                <c:pt idx="11">
                  <c:v>-1.26</c:v>
                </c:pt>
                <c:pt idx="12">
                  <c:v>-1.714</c:v>
                </c:pt>
                <c:pt idx="13">
                  <c:v>-1.579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82E-46F9-914B-16DA5C459EFD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avg.'!$K$81:$K$94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avg.'!$P$81:$P$94</c:f>
              <c:numCache>
                <c:formatCode>0.00</c:formatCode>
                <c:ptCount val="14"/>
                <c:pt idx="0">
                  <c:v>-0.7</c:v>
                </c:pt>
                <c:pt idx="1">
                  <c:v>-0.69899999999999995</c:v>
                </c:pt>
                <c:pt idx="2">
                  <c:v>-0.55100000000000005</c:v>
                </c:pt>
                <c:pt idx="3">
                  <c:v>-0.46</c:v>
                </c:pt>
                <c:pt idx="4">
                  <c:v>-0.42799999999999999</c:v>
                </c:pt>
                <c:pt idx="5">
                  <c:v>-0.31</c:v>
                </c:pt>
                <c:pt idx="6">
                  <c:v>-0.315</c:v>
                </c:pt>
                <c:pt idx="7">
                  <c:v>-0.14000000000000001</c:v>
                </c:pt>
                <c:pt idx="8">
                  <c:v>-0.03</c:v>
                </c:pt>
                <c:pt idx="9">
                  <c:v>6.2549999999999994E-2</c:v>
                </c:pt>
                <c:pt idx="10">
                  <c:v>0.19800000000000001</c:v>
                </c:pt>
                <c:pt idx="11">
                  <c:v>0.16300000000000001</c:v>
                </c:pt>
                <c:pt idx="12">
                  <c:v>0.314</c:v>
                </c:pt>
                <c:pt idx="13">
                  <c:v>0.27900000000000003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82E-46F9-914B-16DA5C459EFD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'Detector Prototype data avg.'!$K$81:$K$94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avg.'!$Q$81:$Q$94</c:f>
              <c:numCache>
                <c:formatCode>0.00</c:formatCode>
                <c:ptCount val="14"/>
                <c:pt idx="0">
                  <c:v>-1.68</c:v>
                </c:pt>
                <c:pt idx="1">
                  <c:v>-1.137</c:v>
                </c:pt>
                <c:pt idx="2">
                  <c:v>-0.995</c:v>
                </c:pt>
                <c:pt idx="3">
                  <c:v>-0.91200000000000003</c:v>
                </c:pt>
                <c:pt idx="4">
                  <c:v>-0.77100000000000002</c:v>
                </c:pt>
                <c:pt idx="5">
                  <c:v>-0.69</c:v>
                </c:pt>
                <c:pt idx="6">
                  <c:v>-0.60299999999999998</c:v>
                </c:pt>
                <c:pt idx="7">
                  <c:v>-0.45</c:v>
                </c:pt>
                <c:pt idx="8">
                  <c:v>-0.27900000000000003</c:v>
                </c:pt>
                <c:pt idx="9">
                  <c:v>-0.16540999999999997</c:v>
                </c:pt>
                <c:pt idx="10">
                  <c:v>-0.113</c:v>
                </c:pt>
                <c:pt idx="11">
                  <c:v>2.5999999999999999E-2</c:v>
                </c:pt>
                <c:pt idx="12">
                  <c:v>0.20300000000000001</c:v>
                </c:pt>
                <c:pt idx="13">
                  <c:v>0.71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82E-46F9-914B-16DA5C459EFD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B82E-46F9-914B-16DA5C459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0392128"/>
        <c:axId val="1"/>
      </c:scatterChart>
      <c:valAx>
        <c:axId val="1470392128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401306075607458"/>
              <c:y val="0.841400058278882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1146505481894315E-2"/>
              <c:y val="0.4086032231897450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0392128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668817542061809"/>
          <c:y val="1.3440895499662665E-2"/>
          <c:w val="0.61624251735615709"/>
          <c:h val="7.7957193898043453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&amp;L&amp;F&amp;C&amp;T&amp;R&amp;A</c:oddFooter>
    </c:headerFooter>
    <c:pageMargins b="0.5" l="0" r="0" t="0.25" header="0" footer="0.2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2 K RL</a:t>
            </a:r>
          </a:p>
        </c:rich>
      </c:tx>
      <c:layout>
        <c:manualLayout>
          <c:xMode val="edge"/>
          <c:yMode val="edge"/>
          <c:x val="6.5286674965380986E-2"/>
          <c:y val="1.34408954996626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79685929169621E-2"/>
          <c:y val="9.6774447597571187E-2"/>
          <c:w val="0.88694336477359048"/>
          <c:h val="0.80376555087982737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avg.'!$K$96:$K$109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avg.'!$M$96:$M$109</c:f>
              <c:numCache>
                <c:formatCode>0.00</c:formatCode>
                <c:ptCount val="14"/>
                <c:pt idx="0">
                  <c:v>0.85299999999999998</c:v>
                </c:pt>
                <c:pt idx="1">
                  <c:v>0.56999999999999995</c:v>
                </c:pt>
                <c:pt idx="2">
                  <c:v>0.41</c:v>
                </c:pt>
                <c:pt idx="3">
                  <c:v>0.35199999999999998</c:v>
                </c:pt>
                <c:pt idx="4">
                  <c:v>4.4999999999999998E-2</c:v>
                </c:pt>
                <c:pt idx="5">
                  <c:v>-5.1999999999999998E-2</c:v>
                </c:pt>
                <c:pt idx="6">
                  <c:v>-0.18</c:v>
                </c:pt>
                <c:pt idx="7">
                  <c:v>-0.40899999999999997</c:v>
                </c:pt>
                <c:pt idx="8">
                  <c:v>-0.74399999999999999</c:v>
                </c:pt>
                <c:pt idx="9">
                  <c:v>-1.1739000000000002</c:v>
                </c:pt>
                <c:pt idx="10">
                  <c:v>-2.4289999999999998</c:v>
                </c:pt>
                <c:pt idx="11">
                  <c:v>-3.9950000000000001</c:v>
                </c:pt>
                <c:pt idx="12">
                  <c:v>-6.1310000000000002</c:v>
                </c:pt>
                <c:pt idx="13">
                  <c:v>-5.7320000000000002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8AE-4077-8D3A-2B4D16A699AB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avg.'!$K$96:$K$109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avg.'!$N$96:$N$109</c:f>
              <c:numCache>
                <c:formatCode>0.00</c:formatCode>
                <c:ptCount val="14"/>
                <c:pt idx="0">
                  <c:v>0.53300000000000003</c:v>
                </c:pt>
                <c:pt idx="1">
                  <c:v>0.38600000000000001</c:v>
                </c:pt>
                <c:pt idx="2">
                  <c:v>0.313</c:v>
                </c:pt>
                <c:pt idx="3">
                  <c:v>0.29699999999999999</c:v>
                </c:pt>
                <c:pt idx="4">
                  <c:v>9.4E-2</c:v>
                </c:pt>
                <c:pt idx="5">
                  <c:v>5.0000000000000001E-3</c:v>
                </c:pt>
                <c:pt idx="6">
                  <c:v>-0.11700000000000001</c:v>
                </c:pt>
                <c:pt idx="7">
                  <c:v>-0.17</c:v>
                </c:pt>
                <c:pt idx="8">
                  <c:v>-0.34300000000000003</c:v>
                </c:pt>
                <c:pt idx="9">
                  <c:v>-0.55212000000000006</c:v>
                </c:pt>
                <c:pt idx="10">
                  <c:v>-1.236</c:v>
                </c:pt>
                <c:pt idx="11">
                  <c:v>-1.798</c:v>
                </c:pt>
                <c:pt idx="12">
                  <c:v>-2.5459999999999998</c:v>
                </c:pt>
                <c:pt idx="13">
                  <c:v>-2.3740000000000001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8AE-4077-8D3A-2B4D16A699AB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'Detector Prototype data avg.'!$K$96:$K$109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avg.'!$P$96:$P$109</c:f>
              <c:numCache>
                <c:formatCode>0.00</c:formatCode>
                <c:ptCount val="14"/>
                <c:pt idx="0">
                  <c:v>-0.62</c:v>
                </c:pt>
                <c:pt idx="1">
                  <c:v>-0.60099999999999998</c:v>
                </c:pt>
                <c:pt idx="2">
                  <c:v>-0.44</c:v>
                </c:pt>
                <c:pt idx="3">
                  <c:v>-0.34899999999999998</c:v>
                </c:pt>
                <c:pt idx="4">
                  <c:v>-0.313</c:v>
                </c:pt>
                <c:pt idx="5">
                  <c:v>-0.19</c:v>
                </c:pt>
                <c:pt idx="6">
                  <c:v>-0.21</c:v>
                </c:pt>
                <c:pt idx="7">
                  <c:v>-1.6E-2</c:v>
                </c:pt>
                <c:pt idx="8">
                  <c:v>0.121</c:v>
                </c:pt>
                <c:pt idx="9">
                  <c:v>0.24897000000000002</c:v>
                </c:pt>
                <c:pt idx="10">
                  <c:v>0.501</c:v>
                </c:pt>
                <c:pt idx="11">
                  <c:v>0.61299999999999999</c:v>
                </c:pt>
                <c:pt idx="12">
                  <c:v>0.98</c:v>
                </c:pt>
                <c:pt idx="13">
                  <c:v>0.95299999999999996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8AE-4077-8D3A-2B4D16A699AB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xVal>
            <c:numRef>
              <c:f>'Detector Prototype data avg.'!$K$96:$K$109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avg.'!$Q$96:$Q$109</c:f>
              <c:numCache>
                <c:formatCode>0.00</c:formatCode>
                <c:ptCount val="14"/>
                <c:pt idx="0">
                  <c:v>-1.54</c:v>
                </c:pt>
                <c:pt idx="1">
                  <c:v>-0.95499999999999996</c:v>
                </c:pt>
                <c:pt idx="2">
                  <c:v>-0.80600000000000005</c:v>
                </c:pt>
                <c:pt idx="3">
                  <c:v>-0.71499999999999997</c:v>
                </c:pt>
                <c:pt idx="4">
                  <c:v>-0.57199999999999995</c:v>
                </c:pt>
                <c:pt idx="5">
                  <c:v>-0.47</c:v>
                </c:pt>
                <c:pt idx="6">
                  <c:v>-0.40100000000000002</c:v>
                </c:pt>
                <c:pt idx="7">
                  <c:v>-0.22900000000000001</c:v>
                </c:pt>
                <c:pt idx="8">
                  <c:v>-2E-3</c:v>
                </c:pt>
                <c:pt idx="9">
                  <c:v>0.17157</c:v>
                </c:pt>
                <c:pt idx="10">
                  <c:v>0.40699999999999997</c:v>
                </c:pt>
                <c:pt idx="11">
                  <c:v>0.751</c:v>
                </c:pt>
                <c:pt idx="12">
                  <c:v>1.2290000000000001</c:v>
                </c:pt>
                <c:pt idx="13">
                  <c:v>1.7230000000000001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8AE-4077-8D3A-2B4D16A699AB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D8AE-4077-8D3A-2B4D16A69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0688384"/>
        <c:axId val="1"/>
      </c:scatterChart>
      <c:valAx>
        <c:axId val="1470688384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401306075607458"/>
              <c:y val="0.841400058278882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1146505481894315E-2"/>
              <c:y val="0.4086032231897450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0688384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828053334660298"/>
          <c:y val="1.3440895499662665E-2"/>
          <c:w val="0.61624251735615709"/>
          <c:h val="7.7957193898043453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Drift: 1 K RL</a:t>
            </a:r>
          </a:p>
        </c:rich>
      </c:tx>
      <c:layout>
        <c:manualLayout>
          <c:xMode val="edge"/>
          <c:yMode val="edge"/>
          <c:x val="6.5495207667731634E-2"/>
          <c:y val="1.1848341232227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859424920127799E-2"/>
          <c:y val="8.7677725118483416E-2"/>
          <c:w val="0.88658146964856233"/>
          <c:h val="0.82464454976303314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avg.'!$K$111:$K$124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avg.'!$M$111:$M$124</c:f>
              <c:numCache>
                <c:formatCode>0.00</c:formatCode>
                <c:ptCount val="14"/>
                <c:pt idx="0">
                  <c:v>0.71399999999999997</c:v>
                </c:pt>
                <c:pt idx="1">
                  <c:v>0.42699999999999999</c:v>
                </c:pt>
                <c:pt idx="2">
                  <c:v>0.27</c:v>
                </c:pt>
                <c:pt idx="3">
                  <c:v>0.218</c:v>
                </c:pt>
                <c:pt idx="4">
                  <c:v>-4.9000000000000002E-2</c:v>
                </c:pt>
                <c:pt idx="5">
                  <c:v>-0.13700000000000001</c:v>
                </c:pt>
                <c:pt idx="6">
                  <c:v>-0.253</c:v>
                </c:pt>
                <c:pt idx="7">
                  <c:v>-0.47199999999999998</c:v>
                </c:pt>
                <c:pt idx="8">
                  <c:v>-0.81100000000000005</c:v>
                </c:pt>
                <c:pt idx="9">
                  <c:v>-1.2724599999999999</c:v>
                </c:pt>
                <c:pt idx="10">
                  <c:v>-2.6749999999999998</c:v>
                </c:pt>
                <c:pt idx="11">
                  <c:v>-4.4880000000000004</c:v>
                </c:pt>
                <c:pt idx="12">
                  <c:v>-6.9059999999999997</c:v>
                </c:pt>
                <c:pt idx="13">
                  <c:v>-6.4459999999999997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13-4823-B7C0-CEA9D5C470D5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avg.'!$K$111:$K$124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avg.'!$N$111:$N$124</c:f>
              <c:numCache>
                <c:formatCode>0.00</c:formatCode>
                <c:ptCount val="14"/>
                <c:pt idx="0">
                  <c:v>0.45900000000000002</c:v>
                </c:pt>
                <c:pt idx="1">
                  <c:v>0.30299999999999999</c:v>
                </c:pt>
                <c:pt idx="2">
                  <c:v>0.23200000000000001</c:v>
                </c:pt>
                <c:pt idx="3">
                  <c:v>0.218</c:v>
                </c:pt>
                <c:pt idx="4">
                  <c:v>3.5000000000000003E-2</c:v>
                </c:pt>
                <c:pt idx="5">
                  <c:v>-5.3999999999999999E-2</c:v>
                </c:pt>
                <c:pt idx="6">
                  <c:v>-0.16900000000000001</c:v>
                </c:pt>
                <c:pt idx="7">
                  <c:v>-0.22</c:v>
                </c:pt>
                <c:pt idx="8">
                  <c:v>-0.39300000000000002</c:v>
                </c:pt>
                <c:pt idx="9">
                  <c:v>-0.61853999999999998</c:v>
                </c:pt>
                <c:pt idx="10">
                  <c:v>-1.3919999999999999</c:v>
                </c:pt>
                <c:pt idx="11">
                  <c:v>-2.0979999999999999</c:v>
                </c:pt>
                <c:pt idx="12">
                  <c:v>-2.9740000000000002</c:v>
                </c:pt>
                <c:pt idx="13">
                  <c:v>-2.827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A13-4823-B7C0-CEA9D5C470D5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'Detector Prototype data avg.'!$K$111:$K$124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avg.'!$P$111:$P$124</c:f>
              <c:numCache>
                <c:formatCode>0.00</c:formatCode>
                <c:ptCount val="14"/>
                <c:pt idx="0">
                  <c:v>-0.54</c:v>
                </c:pt>
                <c:pt idx="1">
                  <c:v>-0.50700000000000001</c:v>
                </c:pt>
                <c:pt idx="2">
                  <c:v>-0.35099999999999998</c:v>
                </c:pt>
                <c:pt idx="3">
                  <c:v>-0.27700000000000002</c:v>
                </c:pt>
                <c:pt idx="4">
                  <c:v>-0.23300000000000001</c:v>
                </c:pt>
                <c:pt idx="5">
                  <c:v>-0.105</c:v>
                </c:pt>
                <c:pt idx="6">
                  <c:v>-0.14000000000000001</c:v>
                </c:pt>
                <c:pt idx="7">
                  <c:v>5.1999999999999998E-2</c:v>
                </c:pt>
                <c:pt idx="8">
                  <c:v>0.20100000000000001</c:v>
                </c:pt>
                <c:pt idx="9">
                  <c:v>0.34891999999999995</c:v>
                </c:pt>
                <c:pt idx="10">
                  <c:v>0.67400000000000004</c:v>
                </c:pt>
                <c:pt idx="11">
                  <c:v>0.89900000000000002</c:v>
                </c:pt>
                <c:pt idx="12">
                  <c:v>1.4390000000000001</c:v>
                </c:pt>
                <c:pt idx="13">
                  <c:v>1.385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A13-4823-B7C0-CEA9D5C470D5}"/>
            </c:ext>
          </c:extLst>
        </c:ser>
        <c:ser>
          <c:idx val="3"/>
          <c:order val="3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xVal>
            <c:numRef>
              <c:f>'Detector Prototype data avg.'!$K$111:$K$124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avg.'!$Q$111:$Q$124</c:f>
              <c:numCache>
                <c:formatCode>0.00</c:formatCode>
                <c:ptCount val="14"/>
                <c:pt idx="0">
                  <c:v>-1.4</c:v>
                </c:pt>
                <c:pt idx="1">
                  <c:v>-0.79700000000000004</c:v>
                </c:pt>
                <c:pt idx="2">
                  <c:v>-0.65400000000000003</c:v>
                </c:pt>
                <c:pt idx="3">
                  <c:v>-0.56399999999999995</c:v>
                </c:pt>
                <c:pt idx="4">
                  <c:v>-0.432</c:v>
                </c:pt>
                <c:pt idx="5">
                  <c:v>-0.317</c:v>
                </c:pt>
                <c:pt idx="6">
                  <c:v>-0.27</c:v>
                </c:pt>
                <c:pt idx="7">
                  <c:v>-9.0999999999999998E-2</c:v>
                </c:pt>
                <c:pt idx="8">
                  <c:v>0.16</c:v>
                </c:pt>
                <c:pt idx="9">
                  <c:v>0.36721999999999999</c:v>
                </c:pt>
                <c:pt idx="10">
                  <c:v>0.72899999999999998</c:v>
                </c:pt>
                <c:pt idx="11">
                  <c:v>1.2350000000000001</c:v>
                </c:pt>
                <c:pt idx="12">
                  <c:v>1.9730000000000001</c:v>
                </c:pt>
                <c:pt idx="13">
                  <c:v>2.42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A13-4823-B7C0-CEA9D5C470D5}"/>
            </c:ext>
          </c:extLst>
        </c:ser>
        <c:ser>
          <c:idx val="4"/>
          <c:order val="4"/>
          <c:tx>
            <c:v>Zero Drift</c:v>
          </c:tx>
          <c:spPr>
            <a:ln w="25400">
              <a:solidFill>
                <a:srgbClr val="FF0000"/>
              </a:solidFill>
              <a:prstDash val="lgDashDot"/>
            </a:ln>
          </c:spPr>
          <c:marker>
            <c:symbol val="star"/>
            <c:size val="2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-30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EA13-4823-B7C0-CEA9D5C47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0693664"/>
        <c:axId val="1"/>
      </c:scatterChart>
      <c:valAx>
        <c:axId val="1470693664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1373801916932906"/>
              <c:y val="0.843601895734597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1.5"/>
          <c:min val="-2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1.1182108626198083E-2"/>
              <c:y val="0.4218009478672986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0693664"/>
        <c:crosses val="autoZero"/>
        <c:crossBetween val="midCat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623003194888181"/>
          <c:y val="1.1848341232227487E-2"/>
          <c:w val="0.61821086261980829"/>
          <c:h val="6.8720379146919433E-2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Vout vs Temperature &amp; Power @ Rload = 10 Mohm</a:t>
            </a:r>
          </a:p>
        </c:rich>
      </c:tx>
      <c:layout>
        <c:manualLayout>
          <c:xMode val="edge"/>
          <c:yMode val="edge"/>
          <c:x val="5.1364365971107544E-2"/>
          <c:y val="7.1225170307450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8876404494382E-2"/>
          <c:y val="5.2706626027513505E-2"/>
          <c:w val="0.7319422150882825"/>
          <c:h val="0.88176760840623947"/>
        </c:manualLayout>
      </c:layout>
      <c:scatterChart>
        <c:scatterStyle val="smoothMarker"/>
        <c:varyColors val="0"/>
        <c:ser>
          <c:idx val="0"/>
          <c:order val="0"/>
          <c:tx>
            <c:v>+18 dBm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5"/>
              <c:pt idx="0">
                <c:v>-22</c:v>
              </c:pt>
              <c:pt idx="1">
                <c:v>0</c:v>
              </c:pt>
              <c:pt idx="2">
                <c:v>23</c:v>
              </c:pt>
              <c:pt idx="3">
                <c:v>50</c:v>
              </c:pt>
              <c:pt idx="4">
                <c:v>71</c:v>
              </c:pt>
            </c:numLit>
          </c:xVal>
          <c:yVal>
            <c:numRef>
              <c:f>'Detector Prototype data avg.'!$M$128:$Q$128</c:f>
              <c:numCache>
                <c:formatCode>0.00000</c:formatCode>
                <c:ptCount val="5"/>
                <c:pt idx="0">
                  <c:v>1.7643011485997218</c:v>
                </c:pt>
                <c:pt idx="1">
                  <c:v>1.6946066708494807</c:v>
                </c:pt>
                <c:pt idx="2">
                  <c:v>1.5924</c:v>
                </c:pt>
                <c:pt idx="3">
                  <c:v>1.4857756425833426</c:v>
                </c:pt>
                <c:pt idx="4">
                  <c:v>1.3534060707842732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31-4B17-A151-B9DB79BE5574}"/>
            </c:ext>
          </c:extLst>
        </c:ser>
        <c:ser>
          <c:idx val="1"/>
          <c:order val="1"/>
          <c:tx>
            <c:v>+15 dBm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Lit>
              <c:formatCode>General</c:formatCode>
              <c:ptCount val="5"/>
              <c:pt idx="0">
                <c:v>-22</c:v>
              </c:pt>
              <c:pt idx="1">
                <c:v>0</c:v>
              </c:pt>
              <c:pt idx="2">
                <c:v>23</c:v>
              </c:pt>
              <c:pt idx="3">
                <c:v>50</c:v>
              </c:pt>
              <c:pt idx="4">
                <c:v>71</c:v>
              </c:pt>
            </c:numLit>
          </c:xVal>
          <c:yVal>
            <c:numRef>
              <c:f>'Detector Prototype data avg.'!$M$129:$Q$129</c:f>
              <c:numCache>
                <c:formatCode>0.00000</c:formatCode>
                <c:ptCount val="5"/>
                <c:pt idx="0">
                  <c:v>1.3565018917303953</c:v>
                </c:pt>
                <c:pt idx="1">
                  <c:v>1.3019641765092991</c:v>
                </c:pt>
                <c:pt idx="2">
                  <c:v>1.2242999999999999</c:v>
                </c:pt>
                <c:pt idx="3">
                  <c:v>1.1304380859621332</c:v>
                </c:pt>
                <c:pt idx="4">
                  <c:v>1.0753353999645661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531-4B17-A151-B9DB79BE5574}"/>
            </c:ext>
          </c:extLst>
        </c:ser>
        <c:ser>
          <c:idx val="2"/>
          <c:order val="2"/>
          <c:tx>
            <c:v>+13 dBm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avg.'!$M$130:$Q$130</c:f>
              <c:numCache>
                <c:formatCode>0.00000</c:formatCode>
                <c:ptCount val="5"/>
                <c:pt idx="0">
                  <c:v>1.1139084225616667</c:v>
                </c:pt>
                <c:pt idx="1">
                  <c:v>1.0740205173460613</c:v>
                </c:pt>
                <c:pt idx="2">
                  <c:v>1.0102899999999999</c:v>
                </c:pt>
                <c:pt idx="3">
                  <c:v>0.94062390430267306</c:v>
                </c:pt>
                <c:pt idx="4">
                  <c:v>0.88901599260858932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531-4B17-A151-B9DB79BE5574}"/>
            </c:ext>
          </c:extLst>
        </c:ser>
        <c:ser>
          <c:idx val="3"/>
          <c:order val="3"/>
          <c:tx>
            <c:v>+9 dBm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8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avg.'!$M$132:$Q$132</c:f>
              <c:numCache>
                <c:formatCode>0.00000</c:formatCode>
                <c:ptCount val="5"/>
                <c:pt idx="0">
                  <c:v>0.72992282476406389</c:v>
                </c:pt>
                <c:pt idx="1">
                  <c:v>0.70891675363673479</c:v>
                </c:pt>
                <c:pt idx="2">
                  <c:v>0.67474800000000001</c:v>
                </c:pt>
                <c:pt idx="3">
                  <c:v>0.62605181308801738</c:v>
                </c:pt>
                <c:pt idx="4">
                  <c:v>0.59272177062433329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531-4B17-A151-B9DB79BE5574}"/>
            </c:ext>
          </c:extLst>
        </c:ser>
        <c:ser>
          <c:idx val="11"/>
          <c:order val="4"/>
          <c:tx>
            <c:v>+6 dBm</c:v>
          </c:tx>
          <c:spPr>
            <a:ln w="25400">
              <a:solidFill>
                <a:srgbClr val="FFFF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avg.'!$M$134:$Q$134</c:f>
              <c:numCache>
                <c:formatCode>0.00000</c:formatCode>
                <c:ptCount val="5"/>
                <c:pt idx="0">
                  <c:v>0.51418587153069284</c:v>
                </c:pt>
                <c:pt idx="1">
                  <c:v>0.49833156653378163</c:v>
                </c:pt>
                <c:pt idx="2">
                  <c:v>0.47976999999999997</c:v>
                </c:pt>
                <c:pt idx="3">
                  <c:v>0.44603427715546901</c:v>
                </c:pt>
                <c:pt idx="4">
                  <c:v>0.42116264588657404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531-4B17-A151-B9DB79BE5574}"/>
            </c:ext>
          </c:extLst>
        </c:ser>
        <c:ser>
          <c:idx val="4"/>
          <c:order val="5"/>
          <c:tx>
            <c:v>+3 dBm</c:v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avg.'!$M$135:$Q$135</c:f>
              <c:numCache>
                <c:formatCode>0.00000</c:formatCode>
                <c:ptCount val="5"/>
                <c:pt idx="0">
                  <c:v>0.35274217591840185</c:v>
                </c:pt>
                <c:pt idx="1">
                  <c:v>0.34511286836795013</c:v>
                </c:pt>
                <c:pt idx="2">
                  <c:v>0.32946599999999998</c:v>
                </c:pt>
                <c:pt idx="3">
                  <c:v>0.30916509277603033</c:v>
                </c:pt>
                <c:pt idx="4">
                  <c:v>0.28818747915374809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531-4B17-A151-B9DB79BE5574}"/>
            </c:ext>
          </c:extLst>
        </c:ser>
        <c:ser>
          <c:idx val="10"/>
          <c:order val="6"/>
          <c:tx>
            <c:v>0 dBm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avg.'!$M$136:$Q$136</c:f>
              <c:numCache>
                <c:formatCode>0.00000</c:formatCode>
                <c:ptCount val="5"/>
                <c:pt idx="0">
                  <c:v>0.23909713636647034</c:v>
                </c:pt>
                <c:pt idx="1">
                  <c:v>0.23178463253653861</c:v>
                </c:pt>
                <c:pt idx="2">
                  <c:v>0.22084500000000001</c:v>
                </c:pt>
                <c:pt idx="3">
                  <c:v>0.20675968900750619</c:v>
                </c:pt>
                <c:pt idx="4">
                  <c:v>0.19292028450790227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531-4B17-A151-B9DB79BE5574}"/>
            </c:ext>
          </c:extLst>
        </c:ser>
        <c:ser>
          <c:idx val="5"/>
          <c:order val="7"/>
          <c:tx>
            <c:v>-3 dBm</c:v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avg.'!$M$137:$Q$137</c:f>
              <c:numCache>
                <c:formatCode>0.00000</c:formatCode>
                <c:ptCount val="5"/>
                <c:pt idx="0">
                  <c:v>0.16183859810260001</c:v>
                </c:pt>
                <c:pt idx="1">
                  <c:v>0.15512511189839728</c:v>
                </c:pt>
                <c:pt idx="2">
                  <c:v>0.14729300000000001</c:v>
                </c:pt>
                <c:pt idx="3">
                  <c:v>0.13692479764661505</c:v>
                </c:pt>
                <c:pt idx="4">
                  <c:v>0.12655581582191586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8531-4B17-A151-B9DB79BE5574}"/>
            </c:ext>
          </c:extLst>
        </c:ser>
        <c:ser>
          <c:idx val="6"/>
          <c:order val="8"/>
          <c:tx>
            <c:v>-8 dBm</c:v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9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avg.'!$M$138:$Q$138</c:f>
              <c:numCache>
                <c:formatCode>0.00000</c:formatCode>
                <c:ptCount val="5"/>
                <c:pt idx="0">
                  <c:v>8.0222165656355079E-2</c:v>
                </c:pt>
                <c:pt idx="1">
                  <c:v>7.5426088934699181E-2</c:v>
                </c:pt>
                <c:pt idx="2">
                  <c:v>7.1035000000000001E-2</c:v>
                </c:pt>
                <c:pt idx="3">
                  <c:v>6.4739371280668631E-2</c:v>
                </c:pt>
                <c:pt idx="4">
                  <c:v>5.7679801830549139E-2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8531-4B17-A151-B9DB79BE5574}"/>
            </c:ext>
          </c:extLst>
        </c:ser>
        <c:ser>
          <c:idx val="7"/>
          <c:order val="9"/>
          <c:tx>
            <c:v>-12 dBm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avg.'!$M$139:$Q$139</c:f>
              <c:numCache>
                <c:formatCode>0.00000</c:formatCode>
                <c:ptCount val="5"/>
                <c:pt idx="0">
                  <c:v>4.160927216598706E-2</c:v>
                </c:pt>
                <c:pt idx="1">
                  <c:v>3.9709623890319165E-2</c:v>
                </c:pt>
                <c:pt idx="2">
                  <c:v>3.6471000000000003E-2</c:v>
                </c:pt>
                <c:pt idx="3">
                  <c:v>3.1836378476010334E-2</c:v>
                </c:pt>
                <c:pt idx="4">
                  <c:v>2.8856494127955361E-2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8531-4B17-A151-B9DB79BE5574}"/>
            </c:ext>
          </c:extLst>
        </c:ser>
        <c:ser>
          <c:idx val="8"/>
          <c:order val="10"/>
          <c:tx>
            <c:v>-17 dBm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avg.'!$M$140:$Q$140</c:f>
              <c:numCache>
                <c:formatCode>0.00000</c:formatCode>
                <c:ptCount val="5"/>
                <c:pt idx="0">
                  <c:v>1.7715771901900969E-2</c:v>
                </c:pt>
                <c:pt idx="1">
                  <c:v>1.6605379526739492E-2</c:v>
                </c:pt>
                <c:pt idx="2">
                  <c:v>1.495E-2</c:v>
                </c:pt>
                <c:pt idx="3">
                  <c:v>1.2889008899377491E-2</c:v>
                </c:pt>
                <c:pt idx="4">
                  <c:v>1.1641336219084831E-2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8531-4B17-A151-B9DB79BE5574}"/>
            </c:ext>
          </c:extLst>
        </c:ser>
        <c:ser>
          <c:idx val="9"/>
          <c:order val="11"/>
          <c:tx>
            <c:v>-20 dBm</c:v>
          </c:tx>
          <c:spPr>
            <a:ln w="25400">
              <a:solidFill>
                <a:srgbClr val="CC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avg.'!$M$141:$Q$141</c:f>
              <c:numCache>
                <c:formatCode>0.00000</c:formatCode>
                <c:ptCount val="5"/>
                <c:pt idx="0">
                  <c:v>1.1108590629226922E-2</c:v>
                </c:pt>
                <c:pt idx="1">
                  <c:v>1.010296442089928E-2</c:v>
                </c:pt>
                <c:pt idx="2">
                  <c:v>9.0170000000000007E-3</c:v>
                </c:pt>
                <c:pt idx="3">
                  <c:v>7.6705224938579779E-3</c:v>
                </c:pt>
                <c:pt idx="4">
                  <c:v>7.6488907099053378E-3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8531-4B17-A151-B9DB79BE5574}"/>
            </c:ext>
          </c:extLst>
        </c:ser>
        <c:ser>
          <c:idx val="12"/>
          <c:order val="12"/>
          <c:tx>
            <c:v>Min Temp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x"/>
            <c:size val="2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C-8531-4B17-A151-B9DB79BE5574}"/>
            </c:ext>
          </c:extLst>
        </c:ser>
        <c:ser>
          <c:idx val="13"/>
          <c:order val="13"/>
          <c:tx>
            <c:v>Max Temp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star"/>
            <c:size val="2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50</c:v>
              </c:pt>
              <c:pt idx="1">
                <c:v>50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D-8531-4B17-A151-B9DB79BE5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089440"/>
        <c:axId val="1"/>
      </c:scatterChart>
      <c:valAx>
        <c:axId val="1471089440"/>
        <c:scaling>
          <c:orientation val="minMax"/>
          <c:max val="75"/>
          <c:min val="-2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Deg C</a:t>
                </a:r>
              </a:p>
            </c:rich>
          </c:tx>
          <c:layout>
            <c:manualLayout>
              <c:xMode val="edge"/>
              <c:yMode val="edge"/>
              <c:x val="0.38362760834670945"/>
              <c:y val="0.930200724215305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0"/>
        <c:minorUnit val="5"/>
      </c:valAx>
      <c:valAx>
        <c:axId val="1"/>
        <c:scaling>
          <c:logBase val="10"/>
          <c:orientation val="minMax"/>
          <c:max val="10"/>
          <c:min val="1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Vout</a:t>
                </a:r>
              </a:p>
            </c:rich>
          </c:tx>
          <c:layout>
            <c:manualLayout>
              <c:xMode val="edge"/>
              <c:yMode val="edge"/>
              <c:x val="1.2841091492776886E-2"/>
              <c:y val="0.3888894298786807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1089440"/>
        <c:crosses val="autoZero"/>
        <c:crossBetween val="midCat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46709470304976"/>
          <c:y val="7.2649673713599691E-2"/>
          <c:w val="0.1492776886035313"/>
          <c:h val="0.75356230185282824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&amp;L&amp;F&amp;C&amp;D&amp;R&amp;A</c:oddFooter>
    </c:headerFooter>
    <c:pageMargins b="0.5" l="0" r="0" t="0.25" header="0" footer="0.2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Vout vs Temperature &amp; Power @ Rload = 20 Kohm</a:t>
            </a:r>
          </a:p>
        </c:rich>
      </c:tx>
      <c:layout>
        <c:manualLayout>
          <c:xMode val="edge"/>
          <c:yMode val="edge"/>
          <c:x val="0.14903869478461598"/>
          <c:y val="6.9444538634628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743730192887047E-2"/>
          <c:y val="3.3333378544621504E-2"/>
          <c:w val="0.73557807425955635"/>
          <c:h val="0.90277900225016583"/>
        </c:manualLayout>
      </c:layout>
      <c:scatterChart>
        <c:scatterStyle val="smoothMarker"/>
        <c:varyColors val="0"/>
        <c:ser>
          <c:idx val="0"/>
          <c:order val="0"/>
          <c:tx>
            <c:v>+18 dBm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5"/>
              <c:pt idx="0">
                <c:v>-22</c:v>
              </c:pt>
              <c:pt idx="1">
                <c:v>0</c:v>
              </c:pt>
              <c:pt idx="2">
                <c:v>23</c:v>
              </c:pt>
              <c:pt idx="3">
                <c:v>50</c:v>
              </c:pt>
              <c:pt idx="4">
                <c:v>71</c:v>
              </c:pt>
            </c:numLit>
          </c:xVal>
          <c:yVal>
            <c:numRef>
              <c:f>'Detector Prototype data avg.'!$M$173:$Q$173</c:f>
              <c:numCache>
                <c:formatCode>0.00000</c:formatCode>
                <c:ptCount val="5"/>
                <c:pt idx="0">
                  <c:v>1.7098558145513751</c:v>
                </c:pt>
                <c:pt idx="1">
                  <c:v>1.6428843974229104</c:v>
                </c:pt>
                <c:pt idx="2">
                  <c:v>1.546</c:v>
                </c:pt>
                <c:pt idx="3">
                  <c:v>1.4431723024255867</c:v>
                </c:pt>
                <c:pt idx="4">
                  <c:v>1.3155301136775761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95-41B1-8141-AF9112FF4CAF}"/>
            </c:ext>
          </c:extLst>
        </c:ser>
        <c:ser>
          <c:idx val="1"/>
          <c:order val="1"/>
          <c:tx>
            <c:v>+15 dBm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Lit>
              <c:formatCode>General</c:formatCode>
              <c:ptCount val="5"/>
              <c:pt idx="0">
                <c:v>-22</c:v>
              </c:pt>
              <c:pt idx="1">
                <c:v>0</c:v>
              </c:pt>
              <c:pt idx="2">
                <c:v>23</c:v>
              </c:pt>
              <c:pt idx="3">
                <c:v>50</c:v>
              </c:pt>
              <c:pt idx="4">
                <c:v>71</c:v>
              </c:pt>
            </c:numLit>
          </c:xVal>
          <c:yVal>
            <c:numRef>
              <c:f>'Detector Prototype data avg.'!$M$174:$Q$174</c:f>
              <c:numCache>
                <c:formatCode>0.00000</c:formatCode>
                <c:ptCount val="5"/>
                <c:pt idx="0">
                  <c:v>1.3010061244865494</c:v>
                </c:pt>
                <c:pt idx="1">
                  <c:v>1.2523113141626891</c:v>
                </c:pt>
                <c:pt idx="2">
                  <c:v>1.1821999999999999</c:v>
                </c:pt>
                <c:pt idx="3">
                  <c:v>1.0927784360128445</c:v>
                </c:pt>
                <c:pt idx="4">
                  <c:v>1.0424057858515887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95-41B1-8141-AF9112FF4CAF}"/>
            </c:ext>
          </c:extLst>
        </c:ser>
        <c:ser>
          <c:idx val="2"/>
          <c:order val="2"/>
          <c:tx>
            <c:v>+13 dBm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avg.'!$M$175:$Q$175</c:f>
              <c:numCache>
                <c:formatCode>0.00000</c:formatCode>
                <c:ptCount val="5"/>
                <c:pt idx="0">
                  <c:v>1.0577771883636524</c:v>
                </c:pt>
                <c:pt idx="1">
                  <c:v>1.0254828773551929</c:v>
                </c:pt>
                <c:pt idx="2">
                  <c:v>0.97109999999999996</c:v>
                </c:pt>
                <c:pt idx="3">
                  <c:v>0.90762015348344172</c:v>
                </c:pt>
                <c:pt idx="4">
                  <c:v>0.85913828219539135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395-41B1-8141-AF9112FF4CAF}"/>
            </c:ext>
          </c:extLst>
        </c:ser>
        <c:ser>
          <c:idx val="3"/>
          <c:order val="3"/>
          <c:tx>
            <c:v>+9 dBm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8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avg.'!$M$177:$Q$177</c:f>
              <c:numCache>
                <c:formatCode>0.00000</c:formatCode>
                <c:ptCount val="5"/>
                <c:pt idx="0">
                  <c:v>0.67692713042737185</c:v>
                </c:pt>
                <c:pt idx="1">
                  <c:v>0.6669275099784987</c:v>
                </c:pt>
                <c:pt idx="2">
                  <c:v>0.64192000000000005</c:v>
                </c:pt>
                <c:pt idx="3">
                  <c:v>0.60094622623473337</c:v>
                </c:pt>
                <c:pt idx="4">
                  <c:v>0.57047938546674948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395-41B1-8141-AF9112FF4CAF}"/>
            </c:ext>
          </c:extLst>
        </c:ser>
        <c:ser>
          <c:idx val="11"/>
          <c:order val="4"/>
          <c:tx>
            <c:v>+6 dBm</c:v>
          </c:tx>
          <c:spPr>
            <a:ln w="25400">
              <a:solidFill>
                <a:srgbClr val="FFFF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avg.'!$M$179:$Q$179</c:f>
              <c:numCache>
                <c:formatCode>0.00000</c:formatCode>
                <c:ptCount val="5"/>
                <c:pt idx="0">
                  <c:v>0.46322421369090472</c:v>
                </c:pt>
                <c:pt idx="1">
                  <c:v>0.45921332038555784</c:v>
                </c:pt>
                <c:pt idx="2">
                  <c:v>0.45135399999999998</c:v>
                </c:pt>
                <c:pt idx="3">
                  <c:v>0.4246425374370319</c:v>
                </c:pt>
                <c:pt idx="4">
                  <c:v>0.40368190240018009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395-41B1-8141-AF9112FF4CAF}"/>
            </c:ext>
          </c:extLst>
        </c:ser>
        <c:ser>
          <c:idx val="4"/>
          <c:order val="5"/>
          <c:tx>
            <c:v>+3 dBm</c:v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avg.'!$M$180:$Q$180</c:f>
              <c:numCache>
                <c:formatCode>0.00000</c:formatCode>
                <c:ptCount val="5"/>
                <c:pt idx="0">
                  <c:v>0.30568538893902553</c:v>
                </c:pt>
                <c:pt idx="1">
                  <c:v>0.31020219977117747</c:v>
                </c:pt>
                <c:pt idx="2">
                  <c:v>0.30576999999999999</c:v>
                </c:pt>
                <c:pt idx="3">
                  <c:v>0.29240434082420474</c:v>
                </c:pt>
                <c:pt idx="4">
                  <c:v>0.27505612196911422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395-41B1-8141-AF9112FF4CAF}"/>
            </c:ext>
          </c:extLst>
        </c:ser>
        <c:ser>
          <c:idx val="10"/>
          <c:order val="6"/>
          <c:tx>
            <c:v>0 dBm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avg.'!$M$181:$Q$181</c:f>
              <c:numCache>
                <c:formatCode>0.00000</c:formatCode>
                <c:ptCount val="5"/>
                <c:pt idx="0">
                  <c:v>0.1959178032443625</c:v>
                </c:pt>
                <c:pt idx="1">
                  <c:v>0.20195409795898137</c:v>
                </c:pt>
                <c:pt idx="2">
                  <c:v>0.20186899999999999</c:v>
                </c:pt>
                <c:pt idx="3">
                  <c:v>0.19416416638790368</c:v>
                </c:pt>
                <c:pt idx="4">
                  <c:v>0.18329635525282872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395-41B1-8141-AF9112FF4CAF}"/>
            </c:ext>
          </c:extLst>
        </c:ser>
        <c:ser>
          <c:idx val="5"/>
          <c:order val="7"/>
          <c:tx>
            <c:v>-3 dBm</c:v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avg.'!$M$182:$Q$182</c:f>
              <c:numCache>
                <c:formatCode>0.00000</c:formatCode>
                <c:ptCount val="5"/>
                <c:pt idx="0">
                  <c:v>0.12377948849573654</c:v>
                </c:pt>
                <c:pt idx="1">
                  <c:v>0.13051147071191718</c:v>
                </c:pt>
                <c:pt idx="2">
                  <c:v>0.13244900000000001</c:v>
                </c:pt>
                <c:pt idx="3">
                  <c:v>0.12762879934925528</c:v>
                </c:pt>
                <c:pt idx="4">
                  <c:v>0.11968746914504512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8395-41B1-8141-AF9112FF4CAF}"/>
            </c:ext>
          </c:extLst>
        </c:ser>
        <c:ser>
          <c:idx val="6"/>
          <c:order val="8"/>
          <c:tx>
            <c:v>-8 dBm</c:v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9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avg.'!$M$183:$Q$183</c:f>
              <c:numCache>
                <c:formatCode>0.00000</c:formatCode>
                <c:ptCount val="5"/>
                <c:pt idx="0">
                  <c:v>5.3595791988067389E-2</c:v>
                </c:pt>
                <c:pt idx="1">
                  <c:v>5.8855020036729093E-2</c:v>
                </c:pt>
                <c:pt idx="2">
                  <c:v>6.2236E-2</c:v>
                </c:pt>
                <c:pt idx="3">
                  <c:v>5.9746394451320503E-2</c:v>
                </c:pt>
                <c:pt idx="4">
                  <c:v>5.4305380258743242E-2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8395-41B1-8141-AF9112FF4CAF}"/>
            </c:ext>
          </c:extLst>
        </c:ser>
        <c:ser>
          <c:idx val="7"/>
          <c:order val="9"/>
          <c:tx>
            <c:v>-12 dBm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avg.'!$M$184:$Q$184</c:f>
              <c:numCache>
                <c:formatCode>0.00000</c:formatCode>
                <c:ptCount val="5"/>
                <c:pt idx="0">
                  <c:v>2.4686503149265921E-2</c:v>
                </c:pt>
                <c:pt idx="1">
                  <c:v>2.9369143920898462E-2</c:v>
                </c:pt>
                <c:pt idx="2">
                  <c:v>3.1423E-2</c:v>
                </c:pt>
                <c:pt idx="3">
                  <c:v>2.9199775575494948E-2</c:v>
                </c:pt>
                <c:pt idx="4">
                  <c:v>2.7128943978751447E-2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8395-41B1-8141-AF9112FF4CAF}"/>
            </c:ext>
          </c:extLst>
        </c:ser>
        <c:ser>
          <c:idx val="8"/>
          <c:order val="10"/>
          <c:tx>
            <c:v>-17 dBm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avg.'!$M$185:$Q$185</c:f>
              <c:numCache>
                <c:formatCode>0.00000</c:formatCode>
                <c:ptCount val="5"/>
                <c:pt idx="0">
                  <c:v>9.0990794001090426E-3</c:v>
                </c:pt>
                <c:pt idx="1">
                  <c:v>1.1812333524893491E-2</c:v>
                </c:pt>
                <c:pt idx="2">
                  <c:v>1.2728E-2</c:v>
                </c:pt>
                <c:pt idx="3">
                  <c:v>1.1792307113464387E-2</c:v>
                </c:pt>
                <c:pt idx="4">
                  <c:v>1.0925401245935166E-2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8395-41B1-8141-AF9112FF4CAF}"/>
            </c:ext>
          </c:extLst>
        </c:ser>
        <c:ser>
          <c:idx val="9"/>
          <c:order val="11"/>
          <c:tx>
            <c:v>-20 dBm</c:v>
          </c:tx>
          <c:spPr>
            <a:ln w="25400">
              <a:solidFill>
                <a:srgbClr val="CC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avg.'!$M$186:$Q$186</c:f>
              <c:numCache>
                <c:formatCode>0.00000</c:formatCode>
                <c:ptCount val="5"/>
                <c:pt idx="0">
                  <c:v>5.5470993711297318E-3</c:v>
                </c:pt>
                <c:pt idx="1">
                  <c:v>7.1468615558413912E-3</c:v>
                </c:pt>
                <c:pt idx="2">
                  <c:v>7.6490000000000004E-3</c:v>
                </c:pt>
                <c:pt idx="3">
                  <c:v>7.0152456263592568E-3</c:v>
                </c:pt>
                <c:pt idx="4">
                  <c:v>7.176745744038252E-3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8395-41B1-8141-AF9112FF4CAF}"/>
            </c:ext>
          </c:extLst>
        </c:ser>
        <c:ser>
          <c:idx val="12"/>
          <c:order val="12"/>
          <c:tx>
            <c:v>Min Temp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x"/>
            <c:size val="3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C-8395-41B1-8141-AF9112FF4CAF}"/>
            </c:ext>
          </c:extLst>
        </c:ser>
        <c:ser>
          <c:idx val="14"/>
          <c:order val="13"/>
          <c:tx>
            <c:v>Max Temp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circle"/>
            <c:size val="3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50</c:v>
              </c:pt>
              <c:pt idx="1">
                <c:v>50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D-8395-41B1-8141-AF9112FF4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306432"/>
        <c:axId val="1"/>
      </c:scatterChart>
      <c:valAx>
        <c:axId val="1471306432"/>
        <c:scaling>
          <c:orientation val="minMax"/>
          <c:max val="75"/>
          <c:min val="-2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Deg C</a:t>
                </a:r>
              </a:p>
            </c:rich>
          </c:tx>
          <c:layout>
            <c:manualLayout>
              <c:xMode val="edge"/>
              <c:yMode val="edge"/>
              <c:x val="0.39262881959388085"/>
              <c:y val="0.930556817704017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0"/>
        <c:minorUnit val="5"/>
      </c:valAx>
      <c:valAx>
        <c:axId val="1"/>
        <c:scaling>
          <c:logBase val="10"/>
          <c:orientation val="minMax"/>
          <c:min val="1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Vout</a:t>
                </a:r>
              </a:p>
            </c:rich>
          </c:tx>
          <c:layout>
            <c:manualLayout>
              <c:xMode val="edge"/>
              <c:yMode val="edge"/>
              <c:x val="8.0128330529363433E-3"/>
              <c:y val="0.4055561056262283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1306432"/>
        <c:crosses val="autoZero"/>
        <c:crossBetween val="midCat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81423373371415"/>
          <c:y val="9.3055681770401702E-2"/>
          <c:w val="0.14903869478461598"/>
          <c:h val="0.72777876489090287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Vout vs Temperature &amp; Power @ Rload = 5 Kohm</a:t>
            </a:r>
          </a:p>
        </c:rich>
      </c:tx>
      <c:layout>
        <c:manualLayout>
          <c:xMode val="edge"/>
          <c:yMode val="edge"/>
          <c:x val="0.19840015500012109"/>
          <c:y val="6.95410292072322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600070000054682E-2"/>
          <c:y val="4.1724617524339362E-2"/>
          <c:w val="0.73600057500044924"/>
          <c:h val="0.89429763560500697"/>
        </c:manualLayout>
      </c:layout>
      <c:scatterChart>
        <c:scatterStyle val="smoothMarker"/>
        <c:varyColors val="0"/>
        <c:ser>
          <c:idx val="0"/>
          <c:order val="0"/>
          <c:tx>
            <c:v>+18 dBm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Lit>
              <c:formatCode>General</c:formatCode>
              <c:ptCount val="5"/>
              <c:pt idx="0">
                <c:v>-22</c:v>
              </c:pt>
              <c:pt idx="1">
                <c:v>0</c:v>
              </c:pt>
              <c:pt idx="2">
                <c:v>23</c:v>
              </c:pt>
              <c:pt idx="3">
                <c:v>50</c:v>
              </c:pt>
              <c:pt idx="4">
                <c:v>71</c:v>
              </c:pt>
            </c:numLit>
          </c:xVal>
          <c:yVal>
            <c:numRef>
              <c:f>'Detector Prototype data avg.'!$M$203:$Q$203</c:f>
              <c:numCache>
                <c:formatCode>0.00000</c:formatCode>
                <c:ptCount val="5"/>
                <c:pt idx="0">
                  <c:v>1.5608401058921824</c:v>
                </c:pt>
                <c:pt idx="1">
                  <c:v>1.5053710210132492</c:v>
                </c:pt>
                <c:pt idx="2" formatCode="0.0000">
                  <c:v>1.4204000000000001</c:v>
                </c:pt>
                <c:pt idx="3">
                  <c:v>1.3306354953880253</c:v>
                </c:pt>
                <c:pt idx="4">
                  <c:v>1.2144144362565408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337-4FB2-BDD2-5F7DC34D14E0}"/>
            </c:ext>
          </c:extLst>
        </c:ser>
        <c:ser>
          <c:idx val="1"/>
          <c:order val="1"/>
          <c:tx>
            <c:v>+15 dBm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Lit>
              <c:formatCode>General</c:formatCode>
              <c:ptCount val="5"/>
              <c:pt idx="0">
                <c:v>-22</c:v>
              </c:pt>
              <c:pt idx="1">
                <c:v>0</c:v>
              </c:pt>
              <c:pt idx="2">
                <c:v>23</c:v>
              </c:pt>
              <c:pt idx="3">
                <c:v>50</c:v>
              </c:pt>
              <c:pt idx="4">
                <c:v>71</c:v>
              </c:pt>
            </c:numLit>
          </c:xVal>
          <c:yVal>
            <c:numRef>
              <c:f>'Detector Prototype data avg.'!$M$204:$Q$204</c:f>
              <c:numCache>
                <c:formatCode>0.00000</c:formatCode>
                <c:ptCount val="5"/>
                <c:pt idx="0">
                  <c:v>1.1632473231712448</c:v>
                </c:pt>
                <c:pt idx="1">
                  <c:v>1.1299829321599979</c:v>
                </c:pt>
                <c:pt idx="2" formatCode="0.0000">
                  <c:v>1.0737399999999999</c:v>
                </c:pt>
                <c:pt idx="3">
                  <c:v>0.99948697180028656</c:v>
                </c:pt>
                <c:pt idx="4">
                  <c:v>0.95559925347815089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337-4FB2-BDD2-5F7DC34D14E0}"/>
            </c:ext>
          </c:extLst>
        </c:ser>
        <c:ser>
          <c:idx val="2"/>
          <c:order val="2"/>
          <c:tx>
            <c:v>+13 dBm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avg.'!$M$205:$Q$205</c:f>
              <c:numCache>
                <c:formatCode>0.00000</c:formatCode>
                <c:ptCount val="5"/>
                <c:pt idx="0">
                  <c:v>0.93424125077319997</c:v>
                </c:pt>
                <c:pt idx="1">
                  <c:v>0.91569123719348477</c:v>
                </c:pt>
                <c:pt idx="2" formatCode="0.0000">
                  <c:v>0.87464900000000001</c:v>
                </c:pt>
                <c:pt idx="3">
                  <c:v>0.82393354424999521</c:v>
                </c:pt>
                <c:pt idx="4">
                  <c:v>0.78521435308498033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337-4FB2-BDD2-5F7DC34D14E0}"/>
            </c:ext>
          </c:extLst>
        </c:ser>
        <c:ser>
          <c:idx val="3"/>
          <c:order val="3"/>
          <c:tx>
            <c:v>+9 dBm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8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avg.'!$M$207:$Q$207</c:f>
              <c:numCache>
                <c:formatCode>0.00000</c:formatCode>
                <c:ptCount val="5"/>
                <c:pt idx="0">
                  <c:v>0.58029965669658468</c:v>
                </c:pt>
                <c:pt idx="1">
                  <c:v>0.57935740072332098</c:v>
                </c:pt>
                <c:pt idx="2" formatCode="0.0000">
                  <c:v>0.56611299999999998</c:v>
                </c:pt>
                <c:pt idx="3">
                  <c:v>0.5366208149782451</c:v>
                </c:pt>
                <c:pt idx="4">
                  <c:v>0.51409863462834271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337-4FB2-BDD2-5F7DC34D14E0}"/>
            </c:ext>
          </c:extLst>
        </c:ser>
        <c:ser>
          <c:idx val="11"/>
          <c:order val="4"/>
          <c:tx>
            <c:v>+6 dBm</c:v>
          </c:tx>
          <c:spPr>
            <a:ln w="25400">
              <a:solidFill>
                <a:srgbClr val="FFFF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avg.'!$M$209:$Q$209</c:f>
              <c:numCache>
                <c:formatCode>0.00000</c:formatCode>
                <c:ptCount val="5"/>
                <c:pt idx="0">
                  <c:v>0.38829093229020734</c:v>
                </c:pt>
                <c:pt idx="1">
                  <c:v>0.38972451284572523</c:v>
                </c:pt>
                <c:pt idx="2" formatCode="General">
                  <c:v>0.39111000000000001</c:v>
                </c:pt>
                <c:pt idx="3">
                  <c:v>0.37465084898406231</c:v>
                </c:pt>
                <c:pt idx="4">
                  <c:v>0.36020936198767628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337-4FB2-BDD2-5F7DC34D14E0}"/>
            </c:ext>
          </c:extLst>
        </c:ser>
        <c:ser>
          <c:idx val="4"/>
          <c:order val="5"/>
          <c:tx>
            <c:v>+3 dBm</c:v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avg.'!$M$210:$Q$210</c:f>
              <c:numCache>
                <c:formatCode>0.00000</c:formatCode>
                <c:ptCount val="5"/>
                <c:pt idx="0">
                  <c:v>0.24904909019389773</c:v>
                </c:pt>
                <c:pt idx="1">
                  <c:v>0.25659345201134653</c:v>
                </c:pt>
                <c:pt idx="2" formatCode="General">
                  <c:v>0.25968999999999998</c:v>
                </c:pt>
                <c:pt idx="3">
                  <c:v>0.25442553133833568</c:v>
                </c:pt>
                <c:pt idx="4">
                  <c:v>0.24314516933982069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2337-4FB2-BDD2-5F7DC34D14E0}"/>
            </c:ext>
          </c:extLst>
        </c:ser>
        <c:ser>
          <c:idx val="10"/>
          <c:order val="6"/>
          <c:tx>
            <c:v>0 dBm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avg.'!$M$211:$Q$211</c:f>
              <c:numCache>
                <c:formatCode>0.00000</c:formatCode>
                <c:ptCount val="5"/>
                <c:pt idx="0">
                  <c:v>0.153125683519588</c:v>
                </c:pt>
                <c:pt idx="1">
                  <c:v>0.16160355438681623</c:v>
                </c:pt>
                <c:pt idx="2" formatCode="General">
                  <c:v>0.16745599999999999</c:v>
                </c:pt>
                <c:pt idx="3">
                  <c:v>0.16670362418273593</c:v>
                </c:pt>
                <c:pt idx="4">
                  <c:v>0.16058795535706047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2337-4FB2-BDD2-5F7DC34D14E0}"/>
            </c:ext>
          </c:extLst>
        </c:ser>
        <c:ser>
          <c:idx val="5"/>
          <c:order val="7"/>
          <c:tx>
            <c:v>-3 dBm</c:v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avg.'!$M$212:$Q$212</c:f>
              <c:numCache>
                <c:formatCode>0.00000</c:formatCode>
                <c:ptCount val="5"/>
                <c:pt idx="0">
                  <c:v>9.0908994531652104E-2</c:v>
                </c:pt>
                <c:pt idx="1">
                  <c:v>9.9679730337256578E-2</c:v>
                </c:pt>
                <c:pt idx="2" formatCode="General">
                  <c:v>0.106735</c:v>
                </c:pt>
                <c:pt idx="3">
                  <c:v>0.10784669844887886</c:v>
                </c:pt>
                <c:pt idx="4">
                  <c:v>0.10385008454269024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2337-4FB2-BDD2-5F7DC34D14E0}"/>
            </c:ext>
          </c:extLst>
        </c:ser>
        <c:ser>
          <c:idx val="6"/>
          <c:order val="8"/>
          <c:tx>
            <c:v>-8 dBm</c:v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9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avg.'!$M$213:$Q$213</c:f>
              <c:numCache>
                <c:formatCode>0.00000</c:formatCode>
                <c:ptCount val="5"/>
                <c:pt idx="0">
                  <c:v>3.3451979781015405E-2</c:v>
                </c:pt>
                <c:pt idx="1">
                  <c:v>4.010271726128372E-2</c:v>
                </c:pt>
                <c:pt idx="2" formatCode="General">
                  <c:v>4.7433000000000003E-2</c:v>
                </c:pt>
                <c:pt idx="3">
                  <c:v>4.9172286552456167E-2</c:v>
                </c:pt>
                <c:pt idx="4">
                  <c:v>4.6468092264243498E-2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2337-4FB2-BDD2-5F7DC34D14E0}"/>
            </c:ext>
          </c:extLst>
        </c:ser>
        <c:ser>
          <c:idx val="7"/>
          <c:order val="9"/>
          <c:tx>
            <c:v>-12 dBm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tar"/>
            <c:size val="7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avg.'!$M$214:$Q$214</c:f>
              <c:numCache>
                <c:formatCode>0.00000</c:formatCode>
                <c:ptCount val="5"/>
                <c:pt idx="0">
                  <c:v>1.2896991450774517E-2</c:v>
                </c:pt>
                <c:pt idx="1">
                  <c:v>1.8068652202774711E-2</c:v>
                </c:pt>
                <c:pt idx="2" formatCode="General">
                  <c:v>2.2915000000000001E-2</c:v>
                </c:pt>
                <c:pt idx="3">
                  <c:v>2.3630318480600425E-2</c:v>
                </c:pt>
                <c:pt idx="4">
                  <c:v>2.3027631111612136E-2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2337-4FB2-BDD2-5F7DC34D14E0}"/>
            </c:ext>
          </c:extLst>
        </c:ser>
        <c:ser>
          <c:idx val="8"/>
          <c:order val="10"/>
          <c:tx>
            <c:v>-17 dBm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avg.'!$M$215:$Q$215</c:f>
              <c:numCache>
                <c:formatCode>0.00000</c:formatCode>
                <c:ptCount val="5"/>
                <c:pt idx="0">
                  <c:v>3.9588470625709291E-3</c:v>
                </c:pt>
                <c:pt idx="1">
                  <c:v>6.6244753886281959E-3</c:v>
                </c:pt>
                <c:pt idx="2" formatCode="General">
                  <c:v>8.9269999999999992E-3</c:v>
                </c:pt>
                <c:pt idx="3">
                  <c:v>9.4284319914798888E-3</c:v>
                </c:pt>
                <c:pt idx="4">
                  <c:v>9.2480346893710017E-3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2337-4FB2-BDD2-5F7DC34D14E0}"/>
            </c:ext>
          </c:extLst>
        </c:ser>
        <c:ser>
          <c:idx val="9"/>
          <c:order val="11"/>
          <c:tx>
            <c:v>-20 dBm</c:v>
          </c:tx>
          <c:spPr>
            <a:ln w="25400">
              <a:solidFill>
                <a:srgbClr val="CC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'Detector Prototype data avg.'!$A$120:$A$124</c:f>
              <c:numCache>
                <c:formatCode>General</c:formatCode>
                <c:ptCount val="5"/>
                <c:pt idx="0">
                  <c:v>-22</c:v>
                </c:pt>
                <c:pt idx="1">
                  <c:v>0</c:v>
                </c:pt>
                <c:pt idx="2">
                  <c:v>23</c:v>
                </c:pt>
                <c:pt idx="3">
                  <c:v>50</c:v>
                </c:pt>
                <c:pt idx="4">
                  <c:v>71</c:v>
                </c:pt>
              </c:numCache>
            </c:numRef>
          </c:xVal>
          <c:yVal>
            <c:numRef>
              <c:f>'Detector Prototype data avg.'!$M$216:$Q$216</c:f>
              <c:numCache>
                <c:formatCode>0.00000</c:formatCode>
                <c:ptCount val="5"/>
                <c:pt idx="0">
                  <c:v>2.3191878989774748E-3</c:v>
                </c:pt>
                <c:pt idx="1">
                  <c:v>3.9077301443492182E-3</c:v>
                </c:pt>
                <c:pt idx="2" formatCode="General">
                  <c:v>5.2960000000000004E-3</c:v>
                </c:pt>
                <c:pt idx="3">
                  <c:v>5.5882488270019249E-3</c:v>
                </c:pt>
                <c:pt idx="4">
                  <c:v>6.0717310343197245E-3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2337-4FB2-BDD2-5F7DC34D14E0}"/>
            </c:ext>
          </c:extLst>
        </c:ser>
        <c:ser>
          <c:idx val="12"/>
          <c:order val="12"/>
          <c:tx>
            <c:v>Min Temp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x"/>
            <c:size val="2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C-2337-4FB2-BDD2-5F7DC34D14E0}"/>
            </c:ext>
          </c:extLst>
        </c:ser>
        <c:ser>
          <c:idx val="13"/>
          <c:order val="13"/>
          <c:tx>
            <c:v>Max Temp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star"/>
            <c:size val="2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50</c:v>
              </c:pt>
              <c:pt idx="1">
                <c:v>50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D-2337-4FB2-BDD2-5F7DC34D1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711616"/>
        <c:axId val="1"/>
      </c:scatterChart>
      <c:valAx>
        <c:axId val="1471711616"/>
        <c:scaling>
          <c:orientation val="minMax"/>
          <c:max val="75"/>
          <c:min val="-2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Deg C</a:t>
                </a:r>
              </a:p>
            </c:rich>
          </c:tx>
          <c:layout>
            <c:manualLayout>
              <c:xMode val="edge"/>
              <c:yMode val="edge"/>
              <c:x val="0.39360030750024022"/>
              <c:y val="0.9332406119610570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0"/>
        <c:minorUnit val="5"/>
      </c:valAx>
      <c:valAx>
        <c:axId val="1"/>
        <c:scaling>
          <c:logBase val="10"/>
          <c:orientation val="minMax"/>
          <c:min val="1E-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Vout</a:t>
                </a:r>
              </a:p>
            </c:rich>
          </c:tx>
          <c:layout>
            <c:manualLayout>
              <c:xMode val="edge"/>
              <c:yMode val="edge"/>
              <c:x val="9.6000075000058586E-3"/>
              <c:y val="0.4102920723226704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1711616"/>
        <c:crosses val="autoZero"/>
        <c:crossBetween val="midCat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840065500051175"/>
          <c:y val="9.1794158553546598E-2"/>
          <c:w val="0.14880011625009082"/>
          <c:h val="0.73018080667593876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Video Resistance vs Pwr Lvl</a:t>
            </a:r>
          </a:p>
        </c:rich>
      </c:tx>
      <c:layout>
        <c:manualLayout>
          <c:xMode val="edge"/>
          <c:yMode val="edge"/>
          <c:x val="0.32187524557132385"/>
          <c:y val="9.074410163339383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00066757253081E-2"/>
          <c:y val="5.2631578947368418E-2"/>
          <c:w val="0.80000061035202819"/>
          <c:h val="0.88384754990925585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0000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avg.'!$S$203:$S$216</c:f>
              <c:numCache>
                <c:formatCode>0.00</c:formatCode>
                <c:ptCount val="14"/>
                <c:pt idx="0">
                  <c:v>0.65176773053009285</c:v>
                </c:pt>
                <c:pt idx="1">
                  <c:v>0.8306684430285205</c:v>
                </c:pt>
                <c:pt idx="2">
                  <c:v>0.96156732342834284</c:v>
                </c:pt>
                <c:pt idx="3">
                  <c:v>1.0317094028094365</c:v>
                </c:pt>
                <c:pt idx="4">
                  <c:v>1.2891888383944983</c:v>
                </c:pt>
                <c:pt idx="5">
                  <c:v>1.5030269268982466</c:v>
                </c:pt>
                <c:pt idx="6">
                  <c:v>1.6211418909261577</c:v>
                </c:pt>
                <c:pt idx="7">
                  <c:v>2.0817800547629717</c:v>
                </c:pt>
                <c:pt idx="8">
                  <c:v>2.8072185825013731</c:v>
                </c:pt>
                <c:pt idx="9">
                  <c:v>3.9011323321947033</c:v>
                </c:pt>
                <c:pt idx="10">
                  <c:v>6.9906454239044162</c:v>
                </c:pt>
                <c:pt idx="11">
                  <c:v>11.131387046662056</c:v>
                </c:pt>
                <c:pt idx="12">
                  <c:v>17.374913228393453</c:v>
                </c:pt>
                <c:pt idx="13">
                  <c:v>18.94931138206757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DF6-42EA-A20A-83BD121159D4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avg.'!$T$203:$T$216</c:f>
              <c:numCache>
                <c:formatCode>0.00</c:formatCode>
                <c:ptCount val="14"/>
                <c:pt idx="0">
                  <c:v>0.62853491662427152</c:v>
                </c:pt>
                <c:pt idx="1">
                  <c:v>0.76099045151307609</c:v>
                </c:pt>
                <c:pt idx="2">
                  <c:v>0.86453421044981438</c:v>
                </c:pt>
                <c:pt idx="3">
                  <c:v>0.92866483132494126</c:v>
                </c:pt>
                <c:pt idx="4">
                  <c:v>1.1181297826838876</c:v>
                </c:pt>
                <c:pt idx="5">
                  <c:v>1.2978651226108218</c:v>
                </c:pt>
                <c:pt idx="6">
                  <c:v>1.393382377913821</c:v>
                </c:pt>
                <c:pt idx="7">
                  <c:v>1.7248962446767602</c:v>
                </c:pt>
                <c:pt idx="8">
                  <c:v>2.1713964898858631</c:v>
                </c:pt>
                <c:pt idx="9">
                  <c:v>2.781176342148334</c:v>
                </c:pt>
                <c:pt idx="10">
                  <c:v>4.4041120010984427</c:v>
                </c:pt>
                <c:pt idx="11">
                  <c:v>5.9885406627676296</c:v>
                </c:pt>
                <c:pt idx="12">
                  <c:v>7.5333543809709536</c:v>
                </c:pt>
                <c:pt idx="13">
                  <c:v>7.9268962386114268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DF6-42EA-A20A-83BD121159D4}"/>
            </c:ext>
          </c:extLst>
        </c:ser>
        <c:ser>
          <c:idx val="6"/>
          <c:order val="2"/>
          <c:tx>
            <c:v>23 deg</c:v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avg.'!$U$203:$U$216</c:f>
              <c:numCache>
                <c:formatCode>0.00</c:formatCode>
                <c:ptCount val="14"/>
                <c:pt idx="0">
                  <c:v>0.60546324978879129</c:v>
                </c:pt>
                <c:pt idx="1">
                  <c:v>0.68107735578445516</c:v>
                </c:pt>
                <c:pt idx="2">
                  <c:v>0.77540247573598009</c:v>
                </c:pt>
                <c:pt idx="3">
                  <c:v>0.83092929318671294</c:v>
                </c:pt>
                <c:pt idx="4">
                  <c:v>0.95948158759823654</c:v>
                </c:pt>
                <c:pt idx="5">
                  <c:v>1.0748338663219248</c:v>
                </c:pt>
                <c:pt idx="6">
                  <c:v>1.1334407200020447</c:v>
                </c:pt>
                <c:pt idx="7">
                  <c:v>1.3434479571797142</c:v>
                </c:pt>
                <c:pt idx="8">
                  <c:v>1.594120246512517</c:v>
                </c:pt>
                <c:pt idx="9">
                  <c:v>1.899939101513094</c:v>
                </c:pt>
                <c:pt idx="10">
                  <c:v>2.487930343853435</c:v>
                </c:pt>
                <c:pt idx="11">
                  <c:v>2.9578878463888278</c:v>
                </c:pt>
                <c:pt idx="12">
                  <c:v>3.3734737313767225</c:v>
                </c:pt>
                <c:pt idx="13">
                  <c:v>3.5130287009063443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DF6-42EA-A20A-83BD121159D4}"/>
            </c:ext>
          </c:extLst>
        </c:ser>
        <c:ser>
          <c:idx val="2"/>
          <c:order val="3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avg.'!$V$203:$V$216</c:f>
              <c:numCache>
                <c:formatCode>0.00</c:formatCode>
                <c:ptCount val="14"/>
                <c:pt idx="0">
                  <c:v>0.58295509075562801</c:v>
                </c:pt>
                <c:pt idx="1">
                  <c:v>0.65509165129974734</c:v>
                </c:pt>
                <c:pt idx="2">
                  <c:v>0.70812968392310105</c:v>
                </c:pt>
                <c:pt idx="3">
                  <c:v>0.73155823349876026</c:v>
                </c:pt>
                <c:pt idx="4">
                  <c:v>0.83327925057657182</c:v>
                </c:pt>
                <c:pt idx="5">
                  <c:v>0.91417343303329401</c:v>
                </c:pt>
                <c:pt idx="6">
                  <c:v>0.95266604046109316</c:v>
                </c:pt>
                <c:pt idx="7">
                  <c:v>1.0757481992815776</c:v>
                </c:pt>
                <c:pt idx="8">
                  <c:v>1.2014155367390777</c:v>
                </c:pt>
                <c:pt idx="9">
                  <c:v>1.3481218996944866</c:v>
                </c:pt>
                <c:pt idx="10">
                  <c:v>1.5829124309285236</c:v>
                </c:pt>
                <c:pt idx="11">
                  <c:v>1.7363413874736322</c:v>
                </c:pt>
                <c:pt idx="12">
                  <c:v>1.8351815609556243</c:v>
                </c:pt>
                <c:pt idx="13">
                  <c:v>1.8630824533033408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DF6-42EA-A20A-83BD121159D4}"/>
            </c:ext>
          </c:extLst>
        </c:ser>
        <c:ser>
          <c:idx val="3"/>
          <c:order val="4"/>
          <c:tx>
            <c:v>71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8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avg.'!$W$203:$W$216</c:f>
              <c:numCache>
                <c:formatCode>0.00</c:formatCode>
                <c:ptCount val="14"/>
                <c:pt idx="0">
                  <c:v>0.57225783216221182</c:v>
                </c:pt>
                <c:pt idx="1">
                  <c:v>0.62649769791366272</c:v>
                </c:pt>
                <c:pt idx="2">
                  <c:v>0.66097645258131776</c:v>
                </c:pt>
                <c:pt idx="3">
                  <c:v>0.68588831547593987</c:v>
                </c:pt>
                <c:pt idx="4">
                  <c:v>0.76466976082157467</c:v>
                </c:pt>
                <c:pt idx="5">
                  <c:v>0.82551632671883479</c:v>
                </c:pt>
                <c:pt idx="6">
                  <c:v>0.84608133950975883</c:v>
                </c:pt>
                <c:pt idx="7">
                  <c:v>0.92624315622277686</c:v>
                </c:pt>
                <c:pt idx="8">
                  <c:v>1.0066859958130814</c:v>
                </c:pt>
                <c:pt idx="9">
                  <c:v>1.09319753465833</c:v>
                </c:pt>
                <c:pt idx="10">
                  <c:v>1.2063879772112884</c:v>
                </c:pt>
                <c:pt idx="11">
                  <c:v>1.2656236735970439</c:v>
                </c:pt>
                <c:pt idx="12">
                  <c:v>1.2939514232491522</c:v>
                </c:pt>
                <c:pt idx="13">
                  <c:v>1.2987726783934506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DF6-42EA-A20A-83BD121159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718336"/>
        <c:axId val="1"/>
      </c:scatterChart>
      <c:valAx>
        <c:axId val="1471718336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Input Pwr (dBm)</a:t>
                </a:r>
              </a:p>
            </c:rich>
          </c:tx>
          <c:layout>
            <c:manualLayout>
              <c:xMode val="edge"/>
              <c:yMode val="edge"/>
              <c:x val="0.39843780398392026"/>
              <c:y val="0.898366606170598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logBase val="10"/>
          <c:orientation val="minMax"/>
          <c:max val="10"/>
          <c:min val="0.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Video Resistance (K ohms)</a:t>
                </a:r>
              </a:p>
            </c:rich>
          </c:tx>
          <c:layout>
            <c:manualLayout>
              <c:xMode val="edge"/>
              <c:yMode val="edge"/>
              <c:x val="1.0937508344656635E-2"/>
              <c:y val="0.3357531760435571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1718336"/>
        <c:crosses val="autoZero"/>
        <c:crossBetween val="midCat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75068187765649"/>
          <c:y val="0.17785843920145192"/>
          <c:w val="9.8437575101909716E-2"/>
          <c:h val="0.5480943738656987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Video Resistance vs Pwr Lvl</a:t>
            </a:r>
          </a:p>
        </c:rich>
      </c:tx>
      <c:layout>
        <c:manualLayout>
          <c:xMode val="edge"/>
          <c:yMode val="edge"/>
          <c:x val="0.32293291731669266"/>
          <c:y val="9.057987039294326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043681747269887E-2"/>
          <c:y val="5.4347922235765955E-2"/>
          <c:w val="0.78783151326053047"/>
          <c:h val="0.88043634021940853"/>
        </c:manualLayout>
      </c:layout>
      <c:scatterChart>
        <c:scatterStyle val="smoothMarker"/>
        <c:varyColors val="0"/>
        <c:ser>
          <c:idx val="1"/>
          <c:order val="0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avg.'!$T$203:$T$216</c:f>
              <c:numCache>
                <c:formatCode>0.00</c:formatCode>
                <c:ptCount val="14"/>
                <c:pt idx="0">
                  <c:v>0.62853491662427152</c:v>
                </c:pt>
                <c:pt idx="1">
                  <c:v>0.76099045151307609</c:v>
                </c:pt>
                <c:pt idx="2">
                  <c:v>0.86453421044981438</c:v>
                </c:pt>
                <c:pt idx="3">
                  <c:v>0.92866483132494126</c:v>
                </c:pt>
                <c:pt idx="4">
                  <c:v>1.1181297826838876</c:v>
                </c:pt>
                <c:pt idx="5">
                  <c:v>1.2978651226108218</c:v>
                </c:pt>
                <c:pt idx="6">
                  <c:v>1.393382377913821</c:v>
                </c:pt>
                <c:pt idx="7">
                  <c:v>1.7248962446767602</c:v>
                </c:pt>
                <c:pt idx="8">
                  <c:v>2.1713964898858631</c:v>
                </c:pt>
                <c:pt idx="9">
                  <c:v>2.781176342148334</c:v>
                </c:pt>
                <c:pt idx="10">
                  <c:v>4.4041120010984427</c:v>
                </c:pt>
                <c:pt idx="11">
                  <c:v>5.9885406627676296</c:v>
                </c:pt>
                <c:pt idx="12">
                  <c:v>7.5333543809709536</c:v>
                </c:pt>
                <c:pt idx="13">
                  <c:v>7.9268962386114268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12F-4C35-977E-D6C13CA16289}"/>
            </c:ext>
          </c:extLst>
        </c:ser>
        <c:ser>
          <c:idx val="6"/>
          <c:order val="1"/>
          <c:tx>
            <c:v>23 deg</c:v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avg.'!$U$203:$U$216</c:f>
              <c:numCache>
                <c:formatCode>0.00</c:formatCode>
                <c:ptCount val="14"/>
                <c:pt idx="0">
                  <c:v>0.60546324978879129</c:v>
                </c:pt>
                <c:pt idx="1">
                  <c:v>0.68107735578445516</c:v>
                </c:pt>
                <c:pt idx="2">
                  <c:v>0.77540247573598009</c:v>
                </c:pt>
                <c:pt idx="3">
                  <c:v>0.83092929318671294</c:v>
                </c:pt>
                <c:pt idx="4">
                  <c:v>0.95948158759823654</c:v>
                </c:pt>
                <c:pt idx="5">
                  <c:v>1.0748338663219248</c:v>
                </c:pt>
                <c:pt idx="6">
                  <c:v>1.1334407200020447</c:v>
                </c:pt>
                <c:pt idx="7">
                  <c:v>1.3434479571797142</c:v>
                </c:pt>
                <c:pt idx="8">
                  <c:v>1.594120246512517</c:v>
                </c:pt>
                <c:pt idx="9">
                  <c:v>1.899939101513094</c:v>
                </c:pt>
                <c:pt idx="10">
                  <c:v>2.487930343853435</c:v>
                </c:pt>
                <c:pt idx="11">
                  <c:v>2.9578878463888278</c:v>
                </c:pt>
                <c:pt idx="12">
                  <c:v>3.3734737313767225</c:v>
                </c:pt>
                <c:pt idx="13">
                  <c:v>3.5130287009063443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12F-4C35-977E-D6C13CA16289}"/>
            </c:ext>
          </c:extLst>
        </c:ser>
        <c:ser>
          <c:idx val="2"/>
          <c:order val="2"/>
          <c:tx>
            <c:v>50 deg</c:v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'Detector Prototype data avg.'!$K$203:$K$216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'Detector Prototype data avg.'!$V$203:$V$216</c:f>
              <c:numCache>
                <c:formatCode>0.00</c:formatCode>
                <c:ptCount val="14"/>
                <c:pt idx="0">
                  <c:v>0.58295509075562801</c:v>
                </c:pt>
                <c:pt idx="1">
                  <c:v>0.65509165129974734</c:v>
                </c:pt>
                <c:pt idx="2">
                  <c:v>0.70812968392310105</c:v>
                </c:pt>
                <c:pt idx="3">
                  <c:v>0.73155823349876026</c:v>
                </c:pt>
                <c:pt idx="4">
                  <c:v>0.83327925057657182</c:v>
                </c:pt>
                <c:pt idx="5">
                  <c:v>0.91417343303329401</c:v>
                </c:pt>
                <c:pt idx="6">
                  <c:v>0.95266604046109316</c:v>
                </c:pt>
                <c:pt idx="7">
                  <c:v>1.0757481992815776</c:v>
                </c:pt>
                <c:pt idx="8">
                  <c:v>1.2014155367390777</c:v>
                </c:pt>
                <c:pt idx="9">
                  <c:v>1.3481218996944866</c:v>
                </c:pt>
                <c:pt idx="10">
                  <c:v>1.5829124309285236</c:v>
                </c:pt>
                <c:pt idx="11">
                  <c:v>1.7363413874736322</c:v>
                </c:pt>
                <c:pt idx="12">
                  <c:v>1.8351815609556243</c:v>
                </c:pt>
                <c:pt idx="13">
                  <c:v>1.8630824533033408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12F-4C35-977E-D6C13CA16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895360"/>
        <c:axId val="1"/>
      </c:scatterChart>
      <c:valAx>
        <c:axId val="1471895360"/>
        <c:scaling>
          <c:orientation val="minMax"/>
          <c:max val="20"/>
          <c:min val="-1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Input Pwr (dBm)</a:t>
                </a:r>
              </a:p>
            </c:rich>
          </c:tx>
          <c:layout>
            <c:manualLayout>
              <c:xMode val="edge"/>
              <c:yMode val="edge"/>
              <c:x val="0.33073322932917315"/>
              <c:y val="0.922103080600162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5"/>
        <c:minorUnit val="2.5"/>
      </c:valAx>
      <c:valAx>
        <c:axId val="1"/>
        <c:scaling>
          <c:orientation val="minMax"/>
          <c:max val="5.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Video Resistance (K ohms)</a:t>
                </a:r>
              </a:p>
            </c:rich>
          </c:tx>
          <c:layout>
            <c:manualLayout>
              <c:xMode val="edge"/>
              <c:yMode val="edge"/>
              <c:x val="7.8003120124804995E-3"/>
              <c:y val="0.3097831567438659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1895360"/>
        <c:crosses val="autoZero"/>
        <c:crossBetween val="midCat"/>
        <c:majorUnit val="0.5"/>
        <c:minorUnit val="0.2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35569422776906"/>
          <c:y val="0.26449322154739435"/>
          <c:w val="9.9843993759750393E-2"/>
          <c:h val="0.33333392304603121"/>
        </c:manualLayout>
      </c:layout>
      <c:overlay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&amp;L&amp;F&amp;C&amp;D&amp;R&amp;A</c:oddFooter>
    </c:headerFooter>
    <c:pageMargins b="0.5" l="0" r="0" t="0.25" header="0" footer="0.2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Thermal Drift vs Pwr Lvl @  Variable Rload</a:t>
            </a:r>
          </a:p>
        </c:rich>
      </c:tx>
      <c:layout>
        <c:manualLayout>
          <c:xMode val="edge"/>
          <c:yMode val="edge"/>
          <c:x val="0.16643467389039382"/>
          <c:y val="1.3513952677740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196151976106127E-2"/>
          <c:y val="9.4597668744183946E-2"/>
          <c:w val="0.76246995901924008"/>
          <c:h val="0.79462041745114509"/>
        </c:manualLayout>
      </c:layout>
      <c:scatterChart>
        <c:scatterStyle val="smoothMarker"/>
        <c:varyColors val="0"/>
        <c:ser>
          <c:idx val="0"/>
          <c:order val="0"/>
          <c:tx>
            <c:v>-22 deg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'Thermal Comp by changing Rload'!$A$22:$A$35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'Thermal Comp by changing Rload'!$H$22:$H$35</c:f>
              <c:numCache>
                <c:formatCode>0.00</c:formatCode>
                <c:ptCount val="14"/>
                <c:pt idx="0">
                  <c:v>1.8687840719719555</c:v>
                </c:pt>
                <c:pt idx="1">
                  <c:v>1.7201049098486059</c:v>
                </c:pt>
                <c:pt idx="2">
                  <c:v>1.657387124015347</c:v>
                </c:pt>
                <c:pt idx="3">
                  <c:v>1.6701057568581505</c:v>
                </c:pt>
                <c:pt idx="4">
                  <c:v>1.3734986713130795</c:v>
                </c:pt>
                <c:pt idx="5">
                  <c:v>1.4920521474584496</c:v>
                </c:pt>
                <c:pt idx="6">
                  <c:v>1.2526248467558938</c:v>
                </c:pt>
                <c:pt idx="7">
                  <c:v>1.2050590693413019</c:v>
                </c:pt>
                <c:pt idx="8">
                  <c:v>1.2297898673413155</c:v>
                </c:pt>
                <c:pt idx="9">
                  <c:v>1.1172637864874624</c:v>
                </c:pt>
                <c:pt idx="10">
                  <c:v>0.78576912529256304</c:v>
                </c:pt>
                <c:pt idx="11">
                  <c:v>0.21976844981657914</c:v>
                </c:pt>
                <c:pt idx="12">
                  <c:v>-0.48240296155603246</c:v>
                </c:pt>
                <c:pt idx="13">
                  <c:v>-0.39502354403706352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C68-4BD3-BF34-9B86AA289CC4}"/>
            </c:ext>
          </c:extLst>
        </c:ser>
        <c:ser>
          <c:idx val="1"/>
          <c:order val="1"/>
          <c:tx>
            <c:v>0 deg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'Thermal Comp by changing Rload'!$A$22:$A$35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'Thermal Comp by changing Rload'!$I$22:$I$35</c:f>
              <c:numCache>
                <c:formatCode>0.00</c:formatCode>
                <c:ptCount val="14"/>
                <c:pt idx="0">
                  <c:v>0.97069104565609965</c:v>
                </c:pt>
                <c:pt idx="1">
                  <c:v>0.83894332005314165</c:v>
                </c:pt>
                <c:pt idx="2">
                  <c:v>0.81994488273068733</c:v>
                </c:pt>
                <c:pt idx="3">
                  <c:v>0.83256511041608439</c:v>
                </c:pt>
                <c:pt idx="4">
                  <c:v>0.61401526547574536</c:v>
                </c:pt>
                <c:pt idx="5">
                  <c:v>0.61027992928626795</c:v>
                </c:pt>
                <c:pt idx="6">
                  <c:v>0.44503919025645433</c:v>
                </c:pt>
                <c:pt idx="7">
                  <c:v>0.43825977285530504</c:v>
                </c:pt>
                <c:pt idx="8">
                  <c:v>0.36580525862122998</c:v>
                </c:pt>
                <c:pt idx="9">
                  <c:v>0.23744264421682229</c:v>
                </c:pt>
                <c:pt idx="10">
                  <c:v>-0.13321407066176683</c:v>
                </c:pt>
                <c:pt idx="11">
                  <c:v>-0.36247102012673138</c:v>
                </c:pt>
                <c:pt idx="12">
                  <c:v>-0.63139582476961609</c:v>
                </c:pt>
                <c:pt idx="13">
                  <c:v>-0.57851269621814339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C68-4BD3-BF34-9B86AA289CC4}"/>
            </c:ext>
          </c:extLst>
        </c:ser>
        <c:ser>
          <c:idx val="2"/>
          <c:order val="2"/>
          <c:tx>
            <c:v>23 deg (Ref)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2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'Thermal Comp by changing Rload'!$A$22:$A$35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'Thermal Comp by changing Rload'!$J$22:$J$35</c:f>
              <c:numCache>
                <c:formatCode>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C68-4BD3-BF34-9B86AA289CC4}"/>
            </c:ext>
          </c:extLst>
        </c:ser>
        <c:ser>
          <c:idx val="3"/>
          <c:order val="3"/>
          <c:tx>
            <c:v>50 deg</c:v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8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'Thermal Comp by changing Rload'!$A$22:$A$35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'Thermal Comp by changing Rload'!$K$22:$K$35</c:f>
              <c:numCache>
                <c:formatCode>0.00</c:formatCode>
                <c:ptCount val="14"/>
                <c:pt idx="0">
                  <c:v>-0.70000000000000173</c:v>
                </c:pt>
                <c:pt idx="1">
                  <c:v>-0.73331930265643652</c:v>
                </c:pt>
                <c:pt idx="2">
                  <c:v>-0.5510000000000006</c:v>
                </c:pt>
                <c:pt idx="3">
                  <c:v>-0.45999999999999974</c:v>
                </c:pt>
                <c:pt idx="4">
                  <c:v>-0.4279999999999986</c:v>
                </c:pt>
                <c:pt idx="5">
                  <c:v>-0.31000000000000072</c:v>
                </c:pt>
                <c:pt idx="6">
                  <c:v>-0.31499999999999995</c:v>
                </c:pt>
                <c:pt idx="7">
                  <c:v>-0.14000000000000115</c:v>
                </c:pt>
                <c:pt idx="8">
                  <c:v>-3.00000000000002E-2</c:v>
                </c:pt>
                <c:pt idx="9">
                  <c:v>6.2550000000000064E-2</c:v>
                </c:pt>
                <c:pt idx="10">
                  <c:v>0.19799999999999951</c:v>
                </c:pt>
                <c:pt idx="11">
                  <c:v>0.16300000000000001</c:v>
                </c:pt>
                <c:pt idx="12">
                  <c:v>0.3140000000000015</c:v>
                </c:pt>
                <c:pt idx="13">
                  <c:v>0.27900000000000014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C68-4BD3-BF34-9B86AA289CC4}"/>
            </c:ext>
          </c:extLst>
        </c:ser>
        <c:ser>
          <c:idx val="4"/>
          <c:order val="4"/>
          <c:tx>
            <c:v>71 deg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tar"/>
            <c:size val="8"/>
            <c:spPr>
              <a:noFill/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'Thermal Comp by changing Rload'!$A$22:$A$35</c:f>
              <c:numCache>
                <c:formatCode>General</c:formatCode>
                <c:ptCount val="1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-3</c:v>
                </c:pt>
                <c:pt idx="10">
                  <c:v>-8</c:v>
                </c:pt>
                <c:pt idx="11">
                  <c:v>-12</c:v>
                </c:pt>
                <c:pt idx="12">
                  <c:v>-17</c:v>
                </c:pt>
                <c:pt idx="13">
                  <c:v>-20</c:v>
                </c:pt>
              </c:numCache>
            </c:numRef>
          </c:xVal>
          <c:yVal>
            <c:numRef>
              <c:f>'Thermal Comp by changing Rload'!$L$22:$L$35</c:f>
              <c:numCache>
                <c:formatCode>0.00</c:formatCode>
                <c:ptCount val="14"/>
                <c:pt idx="0">
                  <c:v>-1.258888325092959</c:v>
                </c:pt>
                <c:pt idx="1">
                  <c:v>-0.75527885554304197</c:v>
                </c:pt>
                <c:pt idx="2">
                  <c:v>-0.58199938908388082</c:v>
                </c:pt>
                <c:pt idx="3">
                  <c:v>-0.48679898991386999</c:v>
                </c:pt>
                <c:pt idx="4">
                  <c:v>-0.36283382668231484</c:v>
                </c:pt>
                <c:pt idx="5">
                  <c:v>-0.23444860990747513</c:v>
                </c:pt>
                <c:pt idx="6">
                  <c:v>-0.19417397372017003</c:v>
                </c:pt>
                <c:pt idx="7">
                  <c:v>-3.712820999630486E-2</c:v>
                </c:pt>
                <c:pt idx="8">
                  <c:v>0.15343291432897799</c:v>
                </c:pt>
                <c:pt idx="9">
                  <c:v>0.255045746170941</c:v>
                </c:pt>
                <c:pt idx="10">
                  <c:v>0.30312952283507877</c:v>
                </c:pt>
                <c:pt idx="11">
                  <c:v>0.44369960848274392</c:v>
                </c:pt>
                <c:pt idx="12">
                  <c:v>0.66397250817789288</c:v>
                </c:pt>
                <c:pt idx="13">
                  <c:v>1.1280054298401005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C68-4BD3-BF34-9B86AA289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885760"/>
        <c:axId val="1"/>
      </c:scatterChart>
      <c:valAx>
        <c:axId val="1471885760"/>
        <c:scaling>
          <c:orientation val="minMax"/>
          <c:max val="20"/>
          <c:min val="-2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Pwr (dBm)</a:t>
                </a:r>
              </a:p>
            </c:rich>
          </c:tx>
          <c:layout>
            <c:manualLayout>
              <c:xMode val="edge"/>
              <c:yMode val="edge"/>
              <c:x val="0.42248801833715355"/>
              <c:y val="0.870298552446492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inorUnit val="5"/>
      </c:valAx>
      <c:valAx>
        <c:axId val="1"/>
        <c:scaling>
          <c:orientation val="minMax"/>
          <c:min val="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Drift (dB)</a:t>
                </a:r>
              </a:p>
            </c:rich>
          </c:tx>
          <c:layout>
            <c:manualLayout>
              <c:xMode val="edge"/>
              <c:yMode val="edge"/>
              <c:x val="7.1125929012988819E-3"/>
              <c:y val="0.40001299926112066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1885760"/>
        <c:crosses val="autoZero"/>
        <c:crossBetween val="midCat"/>
        <c:min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773633395846361"/>
          <c:y val="3.5136276962125464E-2"/>
          <c:w val="0.11522400500104188"/>
          <c:h val="0.824351113342174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</xdr:row>
      <xdr:rowOff>762000</xdr:rowOff>
    </xdr:from>
    <xdr:to>
      <xdr:col>28</xdr:col>
      <xdr:colOff>476250</xdr:colOff>
      <xdr:row>19</xdr:row>
      <xdr:rowOff>142875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9BC0C6BC-E2D4-9FF3-122A-20A611F70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600075</xdr:colOff>
      <xdr:row>20</xdr:row>
      <xdr:rowOff>200025</xdr:rowOff>
    </xdr:from>
    <xdr:to>
      <xdr:col>28</xdr:col>
      <xdr:colOff>476250</xdr:colOff>
      <xdr:row>35</xdr:row>
      <xdr:rowOff>200025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813939A8-D597-706D-F438-1A55DD334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36</xdr:row>
      <xdr:rowOff>0</xdr:rowOff>
    </xdr:from>
    <xdr:to>
      <xdr:col>28</xdr:col>
      <xdr:colOff>495300</xdr:colOff>
      <xdr:row>51</xdr:row>
      <xdr:rowOff>9525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794B70DD-F018-6F4D-DA07-D13548078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51</xdr:row>
      <xdr:rowOff>0</xdr:rowOff>
    </xdr:from>
    <xdr:to>
      <xdr:col>28</xdr:col>
      <xdr:colOff>495300</xdr:colOff>
      <xdr:row>66</xdr:row>
      <xdr:rowOff>9525</xdr:rowOff>
    </xdr:to>
    <xdr:graphicFrame macro="">
      <xdr:nvGraphicFramePr>
        <xdr:cNvPr id="1028" name="Chart 4">
          <a:extLst>
            <a:ext uri="{FF2B5EF4-FFF2-40B4-BE49-F238E27FC236}">
              <a16:creationId xmlns:a16="http://schemas.microsoft.com/office/drawing/2014/main" id="{C07540A6-5F49-DC43-67F3-CF9ACA00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0</xdr:colOff>
      <xdr:row>66</xdr:row>
      <xdr:rowOff>0</xdr:rowOff>
    </xdr:from>
    <xdr:to>
      <xdr:col>28</xdr:col>
      <xdr:colOff>495300</xdr:colOff>
      <xdr:row>81</xdr:row>
      <xdr:rowOff>9525</xdr:rowOff>
    </xdr:to>
    <xdr:graphicFrame macro="">
      <xdr:nvGraphicFramePr>
        <xdr:cNvPr id="1029" name="Chart 5">
          <a:extLst>
            <a:ext uri="{FF2B5EF4-FFF2-40B4-BE49-F238E27FC236}">
              <a16:creationId xmlns:a16="http://schemas.microsoft.com/office/drawing/2014/main" id="{B7AAFB47-1F2D-8676-37EB-07BBCE38EF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0</xdr:colOff>
      <xdr:row>81</xdr:row>
      <xdr:rowOff>0</xdr:rowOff>
    </xdr:from>
    <xdr:to>
      <xdr:col>28</xdr:col>
      <xdr:colOff>495300</xdr:colOff>
      <xdr:row>96</xdr:row>
      <xdr:rowOff>9525</xdr:rowOff>
    </xdr:to>
    <xdr:graphicFrame macro="">
      <xdr:nvGraphicFramePr>
        <xdr:cNvPr id="1030" name="Chart 6">
          <a:extLst>
            <a:ext uri="{FF2B5EF4-FFF2-40B4-BE49-F238E27FC236}">
              <a16:creationId xmlns:a16="http://schemas.microsoft.com/office/drawing/2014/main" id="{D8F39688-67F2-4355-D317-44511AA65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0</xdr:colOff>
      <xdr:row>96</xdr:row>
      <xdr:rowOff>0</xdr:rowOff>
    </xdr:from>
    <xdr:to>
      <xdr:col>28</xdr:col>
      <xdr:colOff>495300</xdr:colOff>
      <xdr:row>111</xdr:row>
      <xdr:rowOff>9525</xdr:rowOff>
    </xdr:to>
    <xdr:graphicFrame macro="">
      <xdr:nvGraphicFramePr>
        <xdr:cNvPr id="1031" name="Chart 7">
          <a:extLst>
            <a:ext uri="{FF2B5EF4-FFF2-40B4-BE49-F238E27FC236}">
              <a16:creationId xmlns:a16="http://schemas.microsoft.com/office/drawing/2014/main" id="{EBF2F405-D31F-B53A-3395-2C25D675D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19050</xdr:colOff>
      <xdr:row>111</xdr:row>
      <xdr:rowOff>0</xdr:rowOff>
    </xdr:from>
    <xdr:to>
      <xdr:col>28</xdr:col>
      <xdr:colOff>495300</xdr:colOff>
      <xdr:row>126</xdr:row>
      <xdr:rowOff>9525</xdr:rowOff>
    </xdr:to>
    <xdr:graphicFrame macro="">
      <xdr:nvGraphicFramePr>
        <xdr:cNvPr id="1032" name="Chart 8">
          <a:extLst>
            <a:ext uri="{FF2B5EF4-FFF2-40B4-BE49-F238E27FC236}">
              <a16:creationId xmlns:a16="http://schemas.microsoft.com/office/drawing/2014/main" id="{2DEF9DCD-7115-8178-FFEC-6BB766A24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19050</xdr:colOff>
      <xdr:row>125</xdr:row>
      <xdr:rowOff>76200</xdr:rowOff>
    </xdr:from>
    <xdr:to>
      <xdr:col>8</xdr:col>
      <xdr:colOff>581025</xdr:colOff>
      <xdr:row>150</xdr:row>
      <xdr:rowOff>57150</xdr:rowOff>
    </xdr:to>
    <xdr:graphicFrame macro="">
      <xdr:nvGraphicFramePr>
        <xdr:cNvPr id="1033" name="Chart 9">
          <a:extLst>
            <a:ext uri="{FF2B5EF4-FFF2-40B4-BE49-F238E27FC236}">
              <a16:creationId xmlns:a16="http://schemas.microsoft.com/office/drawing/2014/main" id="{96863753-A9FD-14AC-8F35-E4CA1DCEF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76200</xdr:colOff>
      <xdr:row>171</xdr:row>
      <xdr:rowOff>457200</xdr:rowOff>
    </xdr:from>
    <xdr:to>
      <xdr:col>8</xdr:col>
      <xdr:colOff>647700</xdr:colOff>
      <xdr:row>201</xdr:row>
      <xdr:rowOff>47625</xdr:rowOff>
    </xdr:to>
    <xdr:graphicFrame macro="">
      <xdr:nvGraphicFramePr>
        <xdr:cNvPr id="1035" name="Chart 11">
          <a:extLst>
            <a:ext uri="{FF2B5EF4-FFF2-40B4-BE49-F238E27FC236}">
              <a16:creationId xmlns:a16="http://schemas.microsoft.com/office/drawing/2014/main" id="{38F3E261-2E60-8C67-5A6E-48F9C304D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38100</xdr:colOff>
      <xdr:row>202</xdr:row>
      <xdr:rowOff>0</xdr:rowOff>
    </xdr:from>
    <xdr:to>
      <xdr:col>8</xdr:col>
      <xdr:colOff>619125</xdr:colOff>
      <xdr:row>230</xdr:row>
      <xdr:rowOff>161925</xdr:rowOff>
    </xdr:to>
    <xdr:graphicFrame macro="">
      <xdr:nvGraphicFramePr>
        <xdr:cNvPr id="1036" name="Chart 12">
          <a:extLst>
            <a:ext uri="{FF2B5EF4-FFF2-40B4-BE49-F238E27FC236}">
              <a16:creationId xmlns:a16="http://schemas.microsoft.com/office/drawing/2014/main" id="{3386E946-97DD-575E-3D0C-316A41599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19</xdr:col>
      <xdr:colOff>0</xdr:colOff>
      <xdr:row>126</xdr:row>
      <xdr:rowOff>0</xdr:rowOff>
    </xdr:from>
    <xdr:to>
      <xdr:col>29</xdr:col>
      <xdr:colOff>0</xdr:colOff>
      <xdr:row>147</xdr:row>
      <xdr:rowOff>38100</xdr:rowOff>
    </xdr:to>
    <xdr:graphicFrame macro="">
      <xdr:nvGraphicFramePr>
        <xdr:cNvPr id="1037" name="Chart 13">
          <a:extLst>
            <a:ext uri="{FF2B5EF4-FFF2-40B4-BE49-F238E27FC236}">
              <a16:creationId xmlns:a16="http://schemas.microsoft.com/office/drawing/2014/main" id="{1155319A-C1D6-653F-4C06-941D48BEF1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19</xdr:col>
      <xdr:colOff>28575</xdr:colOff>
      <xdr:row>148</xdr:row>
      <xdr:rowOff>19050</xdr:rowOff>
    </xdr:from>
    <xdr:to>
      <xdr:col>29</xdr:col>
      <xdr:colOff>38100</xdr:colOff>
      <xdr:row>170</xdr:row>
      <xdr:rowOff>133350</xdr:rowOff>
    </xdr:to>
    <xdr:graphicFrame macro="">
      <xdr:nvGraphicFramePr>
        <xdr:cNvPr id="1038" name="Chart 14">
          <a:extLst>
            <a:ext uri="{FF2B5EF4-FFF2-40B4-BE49-F238E27FC236}">
              <a16:creationId xmlns:a16="http://schemas.microsoft.com/office/drawing/2014/main" id="{C3F6E7A5-CEEA-D196-150F-6E949F74A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571500</xdr:colOff>
      <xdr:row>17</xdr:row>
      <xdr:rowOff>104775</xdr:rowOff>
    </xdr:from>
    <xdr:to>
      <xdr:col>22</xdr:col>
      <xdr:colOff>9525</xdr:colOff>
      <xdr:row>35</xdr:row>
      <xdr:rowOff>123825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9336D25E-CCA3-F10C-A2A0-D4F09BD1D5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8253-623A-49DD-92D0-F650FDD1D8ED}">
  <sheetPr>
    <pageSetUpPr fitToPage="1"/>
  </sheetPr>
  <dimension ref="A1:W351"/>
  <sheetViews>
    <sheetView tabSelected="1" workbookViewId="0">
      <selection activeCell="J4" sqref="J4"/>
    </sheetView>
  </sheetViews>
  <sheetFormatPr defaultRowHeight="12.75"/>
  <cols>
    <col min="1" max="1" width="9.140625" style="4"/>
    <col min="3" max="7" width="9.140625" style="3"/>
    <col min="8" max="8" width="16.5703125" style="3" customWidth="1"/>
    <col min="9" max="10" width="10" style="5" customWidth="1"/>
    <col min="13" max="13" width="9" customWidth="1"/>
    <col min="18" max="18" width="16.28515625" customWidth="1"/>
    <col min="19" max="19" width="10.140625" customWidth="1"/>
  </cols>
  <sheetData>
    <row r="1" spans="1:19">
      <c r="A1" s="101" t="s">
        <v>0</v>
      </c>
      <c r="C1" s="205" t="s">
        <v>1</v>
      </c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</row>
    <row r="2" spans="1:19">
      <c r="A2" s="87" t="s">
        <v>2</v>
      </c>
      <c r="I2" s="203"/>
      <c r="J2" s="203"/>
      <c r="K2" s="203"/>
      <c r="L2" s="203"/>
      <c r="M2" s="203"/>
      <c r="N2" s="203"/>
      <c r="O2" s="203"/>
      <c r="P2" s="203"/>
    </row>
    <row r="3" spans="1:19" ht="13.5" thickBot="1">
      <c r="D3" s="3" t="s">
        <v>3</v>
      </c>
      <c r="H3" s="3" t="s">
        <v>4</v>
      </c>
      <c r="K3" t="s">
        <v>5</v>
      </c>
    </row>
    <row r="4" spans="1:19" s="2" customFormat="1" ht="60.75" customHeight="1" thickTop="1">
      <c r="A4" s="9" t="s">
        <v>6</v>
      </c>
      <c r="B4" s="73" t="s">
        <v>7</v>
      </c>
      <c r="C4" s="218" t="s">
        <v>8</v>
      </c>
      <c r="D4" s="219"/>
      <c r="E4" s="219"/>
      <c r="F4" s="219"/>
      <c r="G4" s="220"/>
      <c r="H4" s="163" t="s">
        <v>9</v>
      </c>
      <c r="I4" s="165" t="s">
        <v>10</v>
      </c>
      <c r="J4" s="13"/>
      <c r="K4" s="103" t="s">
        <v>6</v>
      </c>
      <c r="L4" s="104" t="s">
        <v>7</v>
      </c>
      <c r="M4" s="221" t="s">
        <v>8</v>
      </c>
      <c r="N4" s="222"/>
      <c r="O4" s="222"/>
      <c r="P4" s="222"/>
      <c r="Q4" s="223"/>
      <c r="R4" s="105" t="s">
        <v>9</v>
      </c>
      <c r="S4" s="102"/>
    </row>
    <row r="5" spans="1:19" s="2" customFormat="1" ht="60" customHeight="1" thickBot="1">
      <c r="A5" s="63" t="s">
        <v>11</v>
      </c>
      <c r="B5" s="74" t="s">
        <v>12</v>
      </c>
      <c r="C5" s="75" t="s">
        <v>13</v>
      </c>
      <c r="D5" s="64" t="s">
        <v>14</v>
      </c>
      <c r="E5" s="64" t="s">
        <v>15</v>
      </c>
      <c r="F5" s="64" t="s">
        <v>16</v>
      </c>
      <c r="G5" s="76" t="s">
        <v>17</v>
      </c>
      <c r="H5" s="164" t="s">
        <v>18</v>
      </c>
      <c r="I5" s="166" t="s">
        <v>19</v>
      </c>
      <c r="J5" s="13"/>
      <c r="K5" s="106" t="s">
        <v>11</v>
      </c>
      <c r="L5" s="107" t="s">
        <v>12</v>
      </c>
      <c r="M5" s="108" t="s">
        <v>13</v>
      </c>
      <c r="N5" s="109" t="s">
        <v>14</v>
      </c>
      <c r="O5" s="109" t="s">
        <v>15</v>
      </c>
      <c r="P5" s="109" t="s">
        <v>16</v>
      </c>
      <c r="Q5" s="110" t="s">
        <v>17</v>
      </c>
      <c r="R5" s="111" t="s">
        <v>20</v>
      </c>
    </row>
    <row r="6" spans="1:19" ht="18" customHeight="1" thickTop="1">
      <c r="A6" s="66">
        <v>18</v>
      </c>
      <c r="B6" s="31">
        <v>10000</v>
      </c>
      <c r="C6" s="77">
        <v>1.17</v>
      </c>
      <c r="D6" s="67">
        <v>0.71</v>
      </c>
      <c r="E6" s="68">
        <v>1.5924</v>
      </c>
      <c r="F6" s="67">
        <v>-0.79100000000000004</v>
      </c>
      <c r="G6" s="69">
        <v>-1.8560000000000001</v>
      </c>
      <c r="H6" s="69">
        <v>26.28</v>
      </c>
      <c r="I6" s="167"/>
      <c r="K6" s="112">
        <v>18</v>
      </c>
      <c r="L6" s="113">
        <v>10000</v>
      </c>
      <c r="M6" s="114">
        <v>1.17</v>
      </c>
      <c r="N6" s="128">
        <v>0.71</v>
      </c>
      <c r="O6" s="129">
        <v>1.5924</v>
      </c>
      <c r="P6" s="128">
        <v>-0.79100000000000004</v>
      </c>
      <c r="Q6" s="114">
        <v>-1.8560000000000001</v>
      </c>
      <c r="R6" s="115">
        <v>26.28</v>
      </c>
      <c r="S6" s="5"/>
    </row>
    <row r="7" spans="1:19" ht="18" customHeight="1">
      <c r="A7" s="32">
        <v>18</v>
      </c>
      <c r="B7" s="18">
        <v>200</v>
      </c>
      <c r="C7" s="78">
        <v>1.17</v>
      </c>
      <c r="D7" s="19">
        <v>0.71</v>
      </c>
      <c r="E7" s="21">
        <v>1.5875999999999999</v>
      </c>
      <c r="F7" s="19">
        <v>-0.79</v>
      </c>
      <c r="G7" s="26">
        <v>-1.851</v>
      </c>
      <c r="H7" s="26">
        <v>26.23</v>
      </c>
      <c r="I7" s="168">
        <f>B7*((E$6/E7)-1)</f>
        <v>0.6046863189720586</v>
      </c>
      <c r="K7" s="116">
        <v>15</v>
      </c>
      <c r="L7" s="117">
        <v>10000</v>
      </c>
      <c r="M7" s="118">
        <v>1.0669999999999999</v>
      </c>
      <c r="N7" s="130">
        <v>0.64</v>
      </c>
      <c r="O7" s="131">
        <v>1.2242999999999999</v>
      </c>
      <c r="P7" s="130">
        <v>-0.83</v>
      </c>
      <c r="Q7" s="118">
        <v>-1.35</v>
      </c>
      <c r="R7" s="119">
        <v>23.96</v>
      </c>
      <c r="S7" s="5"/>
    </row>
    <row r="8" spans="1:19" ht="18" customHeight="1">
      <c r="A8" s="32">
        <v>18</v>
      </c>
      <c r="B8" s="18">
        <v>50</v>
      </c>
      <c r="C8" s="78">
        <v>1.157</v>
      </c>
      <c r="D8" s="19">
        <v>0.7</v>
      </c>
      <c r="E8" s="21">
        <v>1.5733999999999999</v>
      </c>
      <c r="F8" s="19">
        <v>-0.78</v>
      </c>
      <c r="G8" s="26">
        <v>-1.84</v>
      </c>
      <c r="H8" s="26">
        <v>26.05</v>
      </c>
      <c r="I8" s="168">
        <f t="shared" ref="I8:I13" si="0">B8*((E$6/E8)-1)</f>
        <v>0.60378797508580107</v>
      </c>
      <c r="K8" s="116">
        <v>13</v>
      </c>
      <c r="L8" s="117">
        <v>10000</v>
      </c>
      <c r="M8" s="118">
        <v>0.98799999999999999</v>
      </c>
      <c r="N8" s="130">
        <v>0.61899999999999999</v>
      </c>
      <c r="O8" s="131">
        <v>1.0102899999999999</v>
      </c>
      <c r="P8" s="130">
        <v>-0.72299999999999998</v>
      </c>
      <c r="Q8" s="118">
        <v>-1.294</v>
      </c>
      <c r="R8" s="119">
        <v>23.3</v>
      </c>
      <c r="S8" s="5"/>
    </row>
    <row r="9" spans="1:19" ht="18" customHeight="1">
      <c r="A9" s="32">
        <v>18</v>
      </c>
      <c r="B9" s="18">
        <v>20</v>
      </c>
      <c r="C9" s="78">
        <v>1.127</v>
      </c>
      <c r="D9" s="19">
        <v>0.68</v>
      </c>
      <c r="E9" s="21">
        <v>1.546</v>
      </c>
      <c r="F9" s="19">
        <v>-0.77</v>
      </c>
      <c r="G9" s="26">
        <v>-1.806</v>
      </c>
      <c r="H9" s="26">
        <v>25.76</v>
      </c>
      <c r="I9" s="168">
        <f t="shared" si="0"/>
        <v>0.60025873221216219</v>
      </c>
      <c r="K9" s="116">
        <v>12</v>
      </c>
      <c r="L9" s="117">
        <v>10000</v>
      </c>
      <c r="M9" s="118">
        <v>0.93100000000000005</v>
      </c>
      <c r="N9" s="130">
        <v>0.60499999999999998</v>
      </c>
      <c r="O9" s="131">
        <v>0.915211</v>
      </c>
      <c r="P9" s="130">
        <v>-0.66200000000000003</v>
      </c>
      <c r="Q9" s="118">
        <v>-1.2250000000000001</v>
      </c>
      <c r="R9" s="119">
        <v>22.66</v>
      </c>
      <c r="S9" s="5"/>
    </row>
    <row r="10" spans="1:19" ht="18" customHeight="1">
      <c r="A10" s="32">
        <v>18</v>
      </c>
      <c r="B10" s="18">
        <v>10</v>
      </c>
      <c r="C10" s="78">
        <v>1.0860000000000001</v>
      </c>
      <c r="D10" s="19">
        <v>0.66400000000000003</v>
      </c>
      <c r="E10" s="21">
        <v>1.5017</v>
      </c>
      <c r="F10" s="19">
        <v>-0.74</v>
      </c>
      <c r="G10" s="26">
        <v>-1.75</v>
      </c>
      <c r="H10" s="26">
        <v>25.32</v>
      </c>
      <c r="I10" s="168">
        <f t="shared" si="0"/>
        <v>0.6039821535592993</v>
      </c>
      <c r="K10" s="116">
        <v>9</v>
      </c>
      <c r="L10" s="117">
        <v>10000</v>
      </c>
      <c r="M10" s="118">
        <v>0.68100000000000005</v>
      </c>
      <c r="N10" s="130">
        <v>0.42799999999999999</v>
      </c>
      <c r="O10" s="131">
        <v>0.67474800000000001</v>
      </c>
      <c r="P10" s="130">
        <v>-0.64900000000000002</v>
      </c>
      <c r="Q10" s="118">
        <v>-1.123</v>
      </c>
      <c r="R10" s="119">
        <v>19.95</v>
      </c>
      <c r="S10" s="5"/>
    </row>
    <row r="11" spans="1:19" ht="18" customHeight="1">
      <c r="A11" s="32">
        <v>18</v>
      </c>
      <c r="B11" s="18">
        <v>5</v>
      </c>
      <c r="C11" s="78">
        <v>1.0109999999999999</v>
      </c>
      <c r="D11" s="19">
        <v>0.623</v>
      </c>
      <c r="E11" s="21">
        <v>1.4204000000000001</v>
      </c>
      <c r="F11" s="19">
        <v>-0.7</v>
      </c>
      <c r="G11" s="26">
        <v>-1.68</v>
      </c>
      <c r="H11" s="26">
        <v>24.69</v>
      </c>
      <c r="I11" s="168">
        <f t="shared" si="0"/>
        <v>0.60546324978879129</v>
      </c>
      <c r="K11" s="116">
        <v>7</v>
      </c>
      <c r="L11" s="117">
        <v>10000</v>
      </c>
      <c r="M11" s="118">
        <v>0.72199999999999998</v>
      </c>
      <c r="N11" s="130">
        <v>0.44</v>
      </c>
      <c r="O11" s="131">
        <v>0.53569100000000003</v>
      </c>
      <c r="P11" s="130">
        <v>-0.57999999999999996</v>
      </c>
      <c r="Q11" s="118">
        <v>-1.1299999999999999</v>
      </c>
      <c r="R11" s="119">
        <v>20.88</v>
      </c>
      <c r="S11" s="5"/>
    </row>
    <row r="12" spans="1:19" ht="18" customHeight="1">
      <c r="A12" s="32">
        <v>18</v>
      </c>
      <c r="B12" s="18">
        <v>2</v>
      </c>
      <c r="C12" s="78">
        <v>0.85299999999999998</v>
      </c>
      <c r="D12" s="19">
        <v>0.53300000000000003</v>
      </c>
      <c r="E12" s="21">
        <v>1.2246999999999999</v>
      </c>
      <c r="F12" s="19">
        <v>-0.62</v>
      </c>
      <c r="G12" s="26">
        <v>-1.54</v>
      </c>
      <c r="H12" s="26">
        <v>23.45</v>
      </c>
      <c r="I12" s="168">
        <f t="shared" si="0"/>
        <v>0.60047358536784534</v>
      </c>
      <c r="K12" s="116">
        <v>6</v>
      </c>
      <c r="L12" s="117">
        <v>10000</v>
      </c>
      <c r="M12" s="118">
        <v>0.55300000000000005</v>
      </c>
      <c r="N12" s="130">
        <v>0.30299999999999999</v>
      </c>
      <c r="O12" s="131">
        <v>0.47976999999999997</v>
      </c>
      <c r="P12" s="130">
        <v>-0.58199999999999996</v>
      </c>
      <c r="Q12" s="118">
        <v>-1.04</v>
      </c>
      <c r="R12" s="119">
        <v>18.38</v>
      </c>
      <c r="S12" s="5"/>
    </row>
    <row r="13" spans="1:19" ht="18" customHeight="1" thickBot="1">
      <c r="A13" s="33">
        <v>18</v>
      </c>
      <c r="B13" s="34">
        <v>1</v>
      </c>
      <c r="C13" s="79">
        <v>0.71399999999999997</v>
      </c>
      <c r="D13" s="38">
        <v>0.45900000000000002</v>
      </c>
      <c r="E13" s="70">
        <v>0.99885000000000002</v>
      </c>
      <c r="F13" s="38">
        <v>-0.54</v>
      </c>
      <c r="G13" s="37">
        <v>-1.4</v>
      </c>
      <c r="H13" s="37">
        <v>22.35</v>
      </c>
      <c r="I13" s="169">
        <f t="shared" si="0"/>
        <v>0.59423336837362961</v>
      </c>
      <c r="K13" s="116">
        <v>3</v>
      </c>
      <c r="L13" s="117">
        <v>10000</v>
      </c>
      <c r="M13" s="118">
        <v>0.51200000000000001</v>
      </c>
      <c r="N13" s="130">
        <v>0.34799999999999998</v>
      </c>
      <c r="O13" s="131">
        <v>0.32946599999999998</v>
      </c>
      <c r="P13" s="130">
        <v>-0.47699999999999998</v>
      </c>
      <c r="Q13" s="118">
        <v>-1.004</v>
      </c>
      <c r="R13" s="119">
        <v>17.27</v>
      </c>
      <c r="S13" s="5"/>
    </row>
    <row r="14" spans="1:19" ht="18" customHeight="1">
      <c r="A14" s="66">
        <v>15</v>
      </c>
      <c r="B14" s="31">
        <v>10000</v>
      </c>
      <c r="C14" s="77">
        <v>1.0669999999999999</v>
      </c>
      <c r="D14" s="67">
        <v>0.64</v>
      </c>
      <c r="E14" s="68">
        <v>1.2242999999999999</v>
      </c>
      <c r="F14" s="67">
        <v>-0.83</v>
      </c>
      <c r="G14" s="69">
        <v>-1.35</v>
      </c>
      <c r="H14" s="69">
        <v>23.96</v>
      </c>
      <c r="I14" s="168"/>
      <c r="K14" s="116">
        <v>0</v>
      </c>
      <c r="L14" s="117">
        <v>10000</v>
      </c>
      <c r="M14" s="118">
        <v>0.58799999999999997</v>
      </c>
      <c r="N14" s="130">
        <v>0.35799999999999998</v>
      </c>
      <c r="O14" s="131">
        <v>0.22084500000000001</v>
      </c>
      <c r="P14" s="130">
        <v>-0.48799999999999999</v>
      </c>
      <c r="Q14" s="118">
        <v>-1.0009999999999999</v>
      </c>
      <c r="R14" s="119">
        <v>17.05</v>
      </c>
      <c r="S14" s="5"/>
    </row>
    <row r="15" spans="1:19" ht="18" customHeight="1">
      <c r="A15" s="32">
        <v>15</v>
      </c>
      <c r="B15" s="18">
        <v>200</v>
      </c>
      <c r="C15" s="78">
        <v>1.048</v>
      </c>
      <c r="D15" s="19">
        <v>0.628</v>
      </c>
      <c r="E15" s="21">
        <v>1.22</v>
      </c>
      <c r="F15" s="19">
        <v>-0.82399999999999995</v>
      </c>
      <c r="G15" s="26">
        <v>-1.3320000000000001</v>
      </c>
      <c r="H15" s="26">
        <v>23.75</v>
      </c>
      <c r="I15" s="168">
        <f>B15*((E$14/E15)-1)</f>
        <v>0.70491803278689424</v>
      </c>
      <c r="K15" s="120">
        <v>-3</v>
      </c>
      <c r="L15" s="117">
        <v>10000</v>
      </c>
      <c r="M15" s="118">
        <f>0.409*1.55</f>
        <v>0.63395000000000001</v>
      </c>
      <c r="N15" s="130">
        <f>0.225*1.55</f>
        <v>0.34875</v>
      </c>
      <c r="O15" s="131">
        <v>0.14729300000000001</v>
      </c>
      <c r="P15" s="130">
        <f>-0.317*1.55</f>
        <v>-0.49135000000000001</v>
      </c>
      <c r="Q15" s="118">
        <f>-0.659*1.55</f>
        <v>-1.02145</v>
      </c>
      <c r="R15" s="119">
        <v>15.5</v>
      </c>
      <c r="S15" s="5"/>
    </row>
    <row r="16" spans="1:19" ht="18" customHeight="1">
      <c r="A16" s="32">
        <v>15</v>
      </c>
      <c r="B16" s="18">
        <v>50</v>
      </c>
      <c r="C16" s="78">
        <v>1.0189999999999999</v>
      </c>
      <c r="D16" s="19">
        <v>0.61699999999999999</v>
      </c>
      <c r="E16" s="21">
        <v>1.2069700000000001</v>
      </c>
      <c r="F16" s="19">
        <v>-0.81799999999999995</v>
      </c>
      <c r="G16" s="26">
        <v>-1.306</v>
      </c>
      <c r="H16" s="26">
        <v>23.55</v>
      </c>
      <c r="I16" s="168">
        <f t="shared" ref="I16:I21" si="1">B16*((E$14/E16)-1)</f>
        <v>0.71791345269558438</v>
      </c>
      <c r="K16" s="116">
        <v>-8</v>
      </c>
      <c r="L16" s="117">
        <v>10000</v>
      </c>
      <c r="M16" s="118">
        <v>0.73</v>
      </c>
      <c r="N16" s="130">
        <v>0.36</v>
      </c>
      <c r="O16" s="131">
        <v>7.1035000000000001E-2</v>
      </c>
      <c r="P16" s="130">
        <v>-0.55700000000000005</v>
      </c>
      <c r="Q16" s="118">
        <v>-1.25</v>
      </c>
      <c r="R16" s="119">
        <v>13.82</v>
      </c>
      <c r="S16" s="5"/>
    </row>
    <row r="17" spans="1:19" ht="18" customHeight="1">
      <c r="A17" s="32">
        <v>15</v>
      </c>
      <c r="B17" s="18">
        <v>20</v>
      </c>
      <c r="C17" s="78">
        <v>0.97399999999999998</v>
      </c>
      <c r="D17" s="19">
        <v>0.58599999999999997</v>
      </c>
      <c r="E17" s="21">
        <v>1.1821999999999999</v>
      </c>
      <c r="F17" s="19">
        <v>-0.8</v>
      </c>
      <c r="G17" s="26">
        <v>-1.28</v>
      </c>
      <c r="H17" s="26">
        <v>23.42</v>
      </c>
      <c r="I17" s="168">
        <f t="shared" si="1"/>
        <v>0.71223143292167279</v>
      </c>
      <c r="K17" s="116">
        <v>-12</v>
      </c>
      <c r="L17" s="117">
        <v>10000</v>
      </c>
      <c r="M17" s="118">
        <v>0.73899999999999999</v>
      </c>
      <c r="N17" s="130">
        <v>0.47699999999999998</v>
      </c>
      <c r="O17" s="131">
        <v>3.6471000000000003E-2</v>
      </c>
      <c r="P17" s="130">
        <v>-0.76200000000000001</v>
      </c>
      <c r="Q17" s="118">
        <v>-1.3129999999999999</v>
      </c>
      <c r="R17" s="119">
        <v>12.91</v>
      </c>
      <c r="S17" s="5"/>
    </row>
    <row r="18" spans="1:19" ht="18" customHeight="1">
      <c r="A18" s="32">
        <v>15</v>
      </c>
      <c r="B18" s="18">
        <v>10</v>
      </c>
      <c r="C18" s="78">
        <v>0.91300000000000003</v>
      </c>
      <c r="D18" s="19">
        <v>0.55300000000000005</v>
      </c>
      <c r="E18" s="21">
        <v>1.1431199999999999</v>
      </c>
      <c r="F18" s="19">
        <v>-0.75</v>
      </c>
      <c r="G18" s="26">
        <v>-1.222</v>
      </c>
      <c r="H18" s="26">
        <v>23.15</v>
      </c>
      <c r="I18" s="168">
        <f t="shared" si="1"/>
        <v>0.71016166281755222</v>
      </c>
      <c r="K18" s="116">
        <v>-17</v>
      </c>
      <c r="L18" s="117">
        <v>10000</v>
      </c>
      <c r="M18" s="118">
        <v>1.0069999999999999</v>
      </c>
      <c r="N18" s="130">
        <v>0.623</v>
      </c>
      <c r="O18" s="131">
        <v>1.495E-2</v>
      </c>
      <c r="P18" s="130">
        <v>-0.88</v>
      </c>
      <c r="Q18" s="118">
        <v>-1.484</v>
      </c>
      <c r="R18" s="119">
        <v>13.66</v>
      </c>
      <c r="S18" s="5"/>
    </row>
    <row r="19" spans="1:19" ht="16.5" customHeight="1">
      <c r="A19" s="32">
        <v>15</v>
      </c>
      <c r="B19" s="18">
        <v>5</v>
      </c>
      <c r="C19" s="78">
        <v>0.78100000000000003</v>
      </c>
      <c r="D19" s="19">
        <v>0.498</v>
      </c>
      <c r="E19" s="21">
        <v>1.0737399999999999</v>
      </c>
      <c r="F19" s="19">
        <v>-0.69899999999999995</v>
      </c>
      <c r="G19" s="26">
        <v>-1.137</v>
      </c>
      <c r="H19" s="26">
        <v>22.46</v>
      </c>
      <c r="I19" s="168">
        <f t="shared" si="1"/>
        <v>0.70110082515320249</v>
      </c>
      <c r="K19" s="116">
        <v>-20</v>
      </c>
      <c r="L19" s="117">
        <v>10000</v>
      </c>
      <c r="M19" s="118">
        <v>1.1080000000000001</v>
      </c>
      <c r="N19" s="130">
        <v>0.60399999999999998</v>
      </c>
      <c r="O19" s="131">
        <v>9.0170000000000007E-3</v>
      </c>
      <c r="P19" s="130">
        <v>-0.85899999999999999</v>
      </c>
      <c r="Q19" s="118">
        <v>-0.874</v>
      </c>
      <c r="R19" s="119">
        <v>12.23</v>
      </c>
    </row>
    <row r="20" spans="1:19" ht="27.75" customHeight="1">
      <c r="A20" s="32">
        <v>15</v>
      </c>
      <c r="B20" s="18">
        <v>2</v>
      </c>
      <c r="C20" s="78">
        <v>0.56999999999999995</v>
      </c>
      <c r="D20" s="19">
        <v>0.38600000000000001</v>
      </c>
      <c r="E20" s="21">
        <v>0.91220000000000001</v>
      </c>
      <c r="F20" s="19">
        <v>-0.60099999999999998</v>
      </c>
      <c r="G20" s="26">
        <v>-0.95499999999999996</v>
      </c>
      <c r="H20" s="26">
        <v>21.25</v>
      </c>
      <c r="I20" s="168">
        <f t="shared" si="1"/>
        <v>0.68427976320982209</v>
      </c>
      <c r="K20" s="121"/>
      <c r="L20" s="117"/>
      <c r="M20" s="122"/>
      <c r="N20" s="132"/>
      <c r="O20" s="133"/>
      <c r="P20" s="132"/>
      <c r="Q20" s="122"/>
      <c r="R20" s="123"/>
      <c r="S20" s="1" t="s">
        <v>21</v>
      </c>
    </row>
    <row r="21" spans="1:19" ht="16.5" customHeight="1" thickBot="1">
      <c r="A21" s="33">
        <v>15</v>
      </c>
      <c r="B21" s="34">
        <v>1</v>
      </c>
      <c r="C21" s="79">
        <v>0.42699999999999999</v>
      </c>
      <c r="D21" s="38">
        <v>0.30299999999999999</v>
      </c>
      <c r="E21" s="70">
        <v>0.73328000000000004</v>
      </c>
      <c r="F21" s="38">
        <v>-0.50700000000000001</v>
      </c>
      <c r="G21" s="37">
        <v>-0.79700000000000004</v>
      </c>
      <c r="H21" s="37">
        <v>20.41</v>
      </c>
      <c r="I21" s="169">
        <f t="shared" si="1"/>
        <v>0.66962142701287353</v>
      </c>
      <c r="K21" s="116">
        <v>18</v>
      </c>
      <c r="L21" s="117">
        <v>200</v>
      </c>
      <c r="M21" s="118">
        <v>1.17</v>
      </c>
      <c r="N21" s="130">
        <v>0.71</v>
      </c>
      <c r="O21" s="131">
        <v>1.5875999999999999</v>
      </c>
      <c r="P21" s="130">
        <v>-0.79</v>
      </c>
      <c r="Q21" s="118">
        <v>-1.851</v>
      </c>
      <c r="R21" s="119">
        <v>26.23</v>
      </c>
      <c r="S21" s="5">
        <f>L21*((E$6/O21)-1)</f>
        <v>0.6046863189720586</v>
      </c>
    </row>
    <row r="22" spans="1:19" ht="18" customHeight="1">
      <c r="A22" s="66">
        <v>13</v>
      </c>
      <c r="B22" s="31">
        <v>10000</v>
      </c>
      <c r="C22" s="77">
        <v>0.98799999999999999</v>
      </c>
      <c r="D22" s="67">
        <v>0.61899999999999999</v>
      </c>
      <c r="E22" s="68">
        <v>1.0102899999999999</v>
      </c>
      <c r="F22" s="67">
        <v>-0.72299999999999998</v>
      </c>
      <c r="G22" s="69">
        <v>-1.294</v>
      </c>
      <c r="H22" s="69">
        <v>23.3</v>
      </c>
      <c r="I22" s="168"/>
      <c r="K22" s="116">
        <v>15</v>
      </c>
      <c r="L22" s="117">
        <v>200</v>
      </c>
      <c r="M22" s="118">
        <v>1.048</v>
      </c>
      <c r="N22" s="130">
        <v>0.628</v>
      </c>
      <c r="O22" s="131">
        <v>1.22</v>
      </c>
      <c r="P22" s="130">
        <v>-0.82399999999999995</v>
      </c>
      <c r="Q22" s="118">
        <v>-1.3320000000000001</v>
      </c>
      <c r="R22" s="119">
        <v>23.75</v>
      </c>
      <c r="S22" s="5">
        <f>L22*((E$15/O22)-1)</f>
        <v>0</v>
      </c>
    </row>
    <row r="23" spans="1:19" ht="18" customHeight="1">
      <c r="A23" s="32">
        <v>13</v>
      </c>
      <c r="B23" s="18">
        <v>200</v>
      </c>
      <c r="C23" s="78">
        <v>0.997</v>
      </c>
      <c r="D23" s="19">
        <v>0.63200000000000001</v>
      </c>
      <c r="E23" s="21">
        <v>1.0049699999999999</v>
      </c>
      <c r="F23" s="19">
        <v>-0.72299999999999998</v>
      </c>
      <c r="G23" s="26">
        <v>-1.2889999999999999</v>
      </c>
      <c r="H23" s="26">
        <v>23.51</v>
      </c>
      <c r="I23" s="168">
        <f>B23*((E$22/E23)-1)</f>
        <v>1.0587380717832495</v>
      </c>
      <c r="K23" s="116">
        <v>13</v>
      </c>
      <c r="L23" s="117">
        <v>200</v>
      </c>
      <c r="M23" s="118">
        <v>0.997</v>
      </c>
      <c r="N23" s="130">
        <v>0.63200000000000001</v>
      </c>
      <c r="O23" s="131">
        <v>1.0049699999999999</v>
      </c>
      <c r="P23" s="130">
        <v>-0.72299999999999998</v>
      </c>
      <c r="Q23" s="118">
        <v>-1.2889999999999999</v>
      </c>
      <c r="R23" s="119">
        <v>23.51</v>
      </c>
      <c r="S23" s="5">
        <f>L23*((E$22/O23)-1)</f>
        <v>1.0587380717832495</v>
      </c>
    </row>
    <row r="24" spans="1:19" ht="18" customHeight="1">
      <c r="A24" s="32">
        <v>13</v>
      </c>
      <c r="B24" s="18">
        <v>50</v>
      </c>
      <c r="C24" s="78">
        <v>0.96</v>
      </c>
      <c r="D24" s="19">
        <v>0.61399999999999999</v>
      </c>
      <c r="E24" s="21">
        <v>0.99260000000000004</v>
      </c>
      <c r="F24" s="19">
        <v>0.69799999999999995</v>
      </c>
      <c r="G24" s="26">
        <v>-1.26</v>
      </c>
      <c r="H24" s="26">
        <v>23.47</v>
      </c>
      <c r="I24" s="168">
        <f t="shared" ref="I24:I29" si="2">B24*((E$22/E24)-1)</f>
        <v>0.89109409631270564</v>
      </c>
      <c r="K24" s="116">
        <v>12</v>
      </c>
      <c r="L24" s="117">
        <v>200</v>
      </c>
      <c r="M24" s="118">
        <v>0.91600000000000004</v>
      </c>
      <c r="N24" s="130">
        <v>0.59799999999999998</v>
      </c>
      <c r="O24" s="131">
        <v>0.91119000000000006</v>
      </c>
      <c r="P24" s="130">
        <v>-0.65100000000000002</v>
      </c>
      <c r="Q24" s="118">
        <v>-1.2290000000000001</v>
      </c>
      <c r="R24" s="119">
        <v>22.62</v>
      </c>
      <c r="S24" s="5">
        <f>L24*((E$30/O24)-1)</f>
        <v>0.88258211788976304</v>
      </c>
    </row>
    <row r="25" spans="1:19" ht="18" customHeight="1">
      <c r="A25" s="32">
        <v>13</v>
      </c>
      <c r="B25" s="18">
        <v>20</v>
      </c>
      <c r="C25" s="78">
        <v>0.84099999999999997</v>
      </c>
      <c r="D25" s="19">
        <v>0.53600000000000003</v>
      </c>
      <c r="E25" s="21">
        <v>0.97109999999999996</v>
      </c>
      <c r="F25" s="19">
        <v>-0.66500000000000004</v>
      </c>
      <c r="G25" s="26">
        <v>-1.2050000000000001</v>
      </c>
      <c r="H25" s="26">
        <v>22.65</v>
      </c>
      <c r="I25" s="168">
        <f t="shared" si="2"/>
        <v>0.80712593965605706</v>
      </c>
      <c r="K25" s="116">
        <v>9</v>
      </c>
      <c r="L25" s="117">
        <v>200</v>
      </c>
      <c r="M25" s="118">
        <v>0.64300000000000002</v>
      </c>
      <c r="N25" s="130">
        <v>0.40899999999999997</v>
      </c>
      <c r="O25" s="131">
        <v>0.671435</v>
      </c>
      <c r="P25" s="130">
        <v>-0.63400000000000001</v>
      </c>
      <c r="Q25" s="118">
        <v>-1.1100000000000001</v>
      </c>
      <c r="R25" s="119">
        <v>19.84</v>
      </c>
      <c r="S25" s="5">
        <f>L25*((E$38/O25)-1)</f>
        <v>0.98684161534623449</v>
      </c>
    </row>
    <row r="26" spans="1:19" ht="18" customHeight="1">
      <c r="A26" s="32">
        <v>13</v>
      </c>
      <c r="B26" s="18">
        <v>10</v>
      </c>
      <c r="C26" s="78">
        <v>0.72299999999999998</v>
      </c>
      <c r="D26" s="19">
        <v>0.48599999999999999</v>
      </c>
      <c r="E26" s="21">
        <v>0.93689800000000001</v>
      </c>
      <c r="F26" s="19">
        <v>-0.61199999999999999</v>
      </c>
      <c r="G26" s="26">
        <v>-1.0980000000000001</v>
      </c>
      <c r="H26" s="26">
        <v>21.74</v>
      </c>
      <c r="I26" s="168">
        <f t="shared" si="2"/>
        <v>0.78335101579894317</v>
      </c>
      <c r="K26" s="116">
        <v>7</v>
      </c>
      <c r="L26" s="117">
        <v>200</v>
      </c>
      <c r="M26" s="118">
        <v>0.66300000000000003</v>
      </c>
      <c r="N26" s="130">
        <v>0.41599999999999998</v>
      </c>
      <c r="O26" s="131">
        <v>0.53237999999999996</v>
      </c>
      <c r="P26" s="130">
        <v>-0.56399999999999995</v>
      </c>
      <c r="Q26" s="118">
        <v>-1.107</v>
      </c>
      <c r="R26" s="119">
        <v>20.79</v>
      </c>
      <c r="S26" s="5">
        <f>L26*((E$46/O26)-1)</f>
        <v>1.2438483789774413</v>
      </c>
    </row>
    <row r="27" spans="1:19" ht="18" customHeight="1">
      <c r="A27" s="32">
        <v>13</v>
      </c>
      <c r="B27" s="18">
        <v>5</v>
      </c>
      <c r="C27" s="78">
        <v>0.60799999999999998</v>
      </c>
      <c r="D27" s="19">
        <v>0.42299999999999999</v>
      </c>
      <c r="E27" s="21">
        <v>0.87464900000000001</v>
      </c>
      <c r="F27" s="19">
        <v>-0.55100000000000005</v>
      </c>
      <c r="G27" s="26">
        <v>-0.995</v>
      </c>
      <c r="H27" s="26">
        <v>21.24</v>
      </c>
      <c r="I27" s="168">
        <f t="shared" si="2"/>
        <v>0.77540247573598009</v>
      </c>
      <c r="K27" s="116">
        <v>6</v>
      </c>
      <c r="L27" s="117">
        <v>200</v>
      </c>
      <c r="M27" s="118">
        <v>0.49</v>
      </c>
      <c r="N27" s="130">
        <v>0.28100000000000003</v>
      </c>
      <c r="O27" s="131">
        <v>0.47655500000000001</v>
      </c>
      <c r="P27" s="130">
        <v>-0.56999999999999995</v>
      </c>
      <c r="Q27" s="118">
        <v>-1.01</v>
      </c>
      <c r="R27" s="119">
        <v>18.29</v>
      </c>
      <c r="S27" s="5">
        <f>L27*((E$54/O27)-1)</f>
        <v>1.3492671360073594</v>
      </c>
    </row>
    <row r="28" spans="1:19" ht="18" customHeight="1">
      <c r="A28" s="32">
        <v>13</v>
      </c>
      <c r="B28" s="18">
        <v>2</v>
      </c>
      <c r="C28" s="78">
        <v>0.41</v>
      </c>
      <c r="D28" s="19">
        <v>0.313</v>
      </c>
      <c r="E28" s="21">
        <v>0.73448999999999998</v>
      </c>
      <c r="F28" s="19">
        <v>-0.44</v>
      </c>
      <c r="G28" s="26">
        <v>-0.80600000000000005</v>
      </c>
      <c r="H28" s="26">
        <v>20.309999999999999</v>
      </c>
      <c r="I28" s="168">
        <f t="shared" si="2"/>
        <v>0.75099729063704057</v>
      </c>
      <c r="K28" s="116">
        <v>3</v>
      </c>
      <c r="L28" s="117">
        <v>200</v>
      </c>
      <c r="M28" s="118">
        <v>0.40899999999999997</v>
      </c>
      <c r="N28" s="130">
        <v>0.31</v>
      </c>
      <c r="O28" s="131">
        <v>0.326654</v>
      </c>
      <c r="P28" s="130">
        <v>-0.45</v>
      </c>
      <c r="Q28" s="118">
        <v>-0.97199999999999998</v>
      </c>
      <c r="R28" s="119">
        <v>17.2</v>
      </c>
      <c r="S28" s="5">
        <f>L28*((E$62/O28)-1)</f>
        <v>1.7216994128343543</v>
      </c>
    </row>
    <row r="29" spans="1:19" ht="18" customHeight="1" thickBot="1">
      <c r="A29" s="33">
        <v>13</v>
      </c>
      <c r="B29" s="34">
        <v>1</v>
      </c>
      <c r="C29" s="79">
        <v>0.27</v>
      </c>
      <c r="D29" s="38">
        <v>0.23200000000000001</v>
      </c>
      <c r="E29" s="70">
        <v>0.58518999999999999</v>
      </c>
      <c r="F29" s="38">
        <v>-0.35099999999999998</v>
      </c>
      <c r="G29" s="37">
        <v>-0.65400000000000003</v>
      </c>
      <c r="H29" s="37">
        <v>19.57</v>
      </c>
      <c r="I29" s="169">
        <f t="shared" si="2"/>
        <v>0.72643073189904128</v>
      </c>
      <c r="K29" s="116">
        <v>0</v>
      </c>
      <c r="L29" s="117">
        <v>200</v>
      </c>
      <c r="M29" s="118">
        <v>0.40500000000000003</v>
      </c>
      <c r="N29" s="130">
        <v>0.29499999999999998</v>
      </c>
      <c r="O29" s="131">
        <v>0.218613</v>
      </c>
      <c r="P29" s="130">
        <v>-0.46</v>
      </c>
      <c r="Q29" s="118">
        <v>-0.96</v>
      </c>
      <c r="R29" s="119">
        <v>16.96</v>
      </c>
      <c r="S29" s="5">
        <f>L29*((E$70/O29)-1)</f>
        <v>2.0419645675234577</v>
      </c>
    </row>
    <row r="30" spans="1:19" ht="18" customHeight="1">
      <c r="A30" s="66">
        <v>12</v>
      </c>
      <c r="B30" s="31">
        <v>10000</v>
      </c>
      <c r="C30" s="77">
        <v>0.93100000000000005</v>
      </c>
      <c r="D30" s="67">
        <v>0.60499999999999998</v>
      </c>
      <c r="E30" s="68">
        <v>0.915211</v>
      </c>
      <c r="F30" s="67">
        <v>-0.66200000000000003</v>
      </c>
      <c r="G30" s="69">
        <v>-1.2250000000000001</v>
      </c>
      <c r="H30" s="69">
        <v>22.66</v>
      </c>
      <c r="I30" s="168"/>
      <c r="K30" s="116">
        <v>-3</v>
      </c>
      <c r="L30" s="117">
        <v>200</v>
      </c>
      <c r="M30" s="118">
        <f>0.254*1.54</f>
        <v>0.39116000000000001</v>
      </c>
      <c r="N30" s="130">
        <f>0.177*1.54</f>
        <v>0.27257999999999999</v>
      </c>
      <c r="O30" s="131">
        <v>0.14549200000000001</v>
      </c>
      <c r="P30" s="130">
        <f>-0.296*1.54</f>
        <v>-0.45583999999999997</v>
      </c>
      <c r="Q30" s="118">
        <f>-0.631*1.54</f>
        <v>-0.97174000000000005</v>
      </c>
      <c r="R30" s="119">
        <v>15.4</v>
      </c>
      <c r="S30" s="5">
        <f>L30*((E$78/O30)-1)</f>
        <v>2.4757374975943769</v>
      </c>
    </row>
    <row r="31" spans="1:19" ht="18" customHeight="1">
      <c r="A31" s="32">
        <v>12</v>
      </c>
      <c r="B31" s="18">
        <v>200</v>
      </c>
      <c r="C31" s="78">
        <v>0.91600000000000004</v>
      </c>
      <c r="D31" s="19">
        <v>0.59799999999999998</v>
      </c>
      <c r="E31" s="21">
        <v>0.91119000000000006</v>
      </c>
      <c r="F31" s="19">
        <v>-0.65100000000000002</v>
      </c>
      <c r="G31" s="26">
        <v>-1.2290000000000001</v>
      </c>
      <c r="H31" s="26">
        <v>22.62</v>
      </c>
      <c r="I31" s="168">
        <f>B31*((E$30/E31)-1)</f>
        <v>0.88258211788976304</v>
      </c>
      <c r="K31" s="116">
        <v>-8</v>
      </c>
      <c r="L31" s="117">
        <v>200</v>
      </c>
      <c r="M31" s="118">
        <v>0.40600000000000003</v>
      </c>
      <c r="N31" s="130">
        <v>0.25</v>
      </c>
      <c r="O31" s="131">
        <v>6.9979E-2</v>
      </c>
      <c r="P31" s="130">
        <v>-0.52</v>
      </c>
      <c r="Q31" s="118">
        <v>-1.194</v>
      </c>
      <c r="R31" s="119">
        <v>13.78</v>
      </c>
      <c r="S31" s="5">
        <f>L31*((E$86/O31)-1)</f>
        <v>3.0180482716243517</v>
      </c>
    </row>
    <row r="32" spans="1:19" ht="18" customHeight="1">
      <c r="A32" s="32">
        <v>12</v>
      </c>
      <c r="B32" s="18">
        <v>50</v>
      </c>
      <c r="C32" s="78">
        <v>0.85099999999999998</v>
      </c>
      <c r="D32" s="19">
        <v>0.57199999999999995</v>
      </c>
      <c r="E32" s="21">
        <v>0.89980000000000004</v>
      </c>
      <c r="F32" s="19">
        <v>-0.623</v>
      </c>
      <c r="G32" s="26">
        <v>-1.19</v>
      </c>
      <c r="H32" s="26">
        <v>22.4</v>
      </c>
      <c r="I32" s="168">
        <f t="shared" ref="I32:I37" si="3">B32*((E$30/E32)-1)</f>
        <v>0.85635696821515506</v>
      </c>
      <c r="K32" s="116">
        <v>-12</v>
      </c>
      <c r="L32" s="117">
        <v>200</v>
      </c>
      <c r="M32" s="118">
        <v>0.36899999999999999</v>
      </c>
      <c r="N32" s="130">
        <v>0.35499999999999998</v>
      </c>
      <c r="O32" s="131">
        <v>3.5867999999999997E-2</v>
      </c>
      <c r="P32" s="130">
        <v>-0.71799999999999997</v>
      </c>
      <c r="Q32" s="118">
        <v>-1.254</v>
      </c>
      <c r="R32" s="119">
        <v>12.91</v>
      </c>
      <c r="S32" s="5">
        <f>L32*((E$94/O32)-1)</f>
        <v>3.3623285379726031</v>
      </c>
    </row>
    <row r="33" spans="1:19" ht="18" customHeight="1">
      <c r="A33" s="32">
        <v>12</v>
      </c>
      <c r="B33" s="18">
        <v>20</v>
      </c>
      <c r="C33" s="78">
        <v>0.77600000000000002</v>
      </c>
      <c r="D33" s="19">
        <v>0.54</v>
      </c>
      <c r="E33" s="21">
        <v>0.87725900000000001</v>
      </c>
      <c r="F33" s="19">
        <v>-0.57999999999999996</v>
      </c>
      <c r="G33" s="26">
        <v>-1.115</v>
      </c>
      <c r="H33" s="26">
        <v>22.12</v>
      </c>
      <c r="I33" s="168">
        <f t="shared" si="3"/>
        <v>0.86524048200132597</v>
      </c>
      <c r="K33" s="116">
        <v>-17</v>
      </c>
      <c r="L33" s="117">
        <v>200</v>
      </c>
      <c r="M33" s="118">
        <v>0.50800000000000001</v>
      </c>
      <c r="N33" s="130">
        <v>0.48199999999999998</v>
      </c>
      <c r="O33" s="131">
        <v>1.4699E-2</v>
      </c>
      <c r="P33" s="130">
        <v>-0.83399999999999996</v>
      </c>
      <c r="Q33" s="118">
        <v>-1.4219999999999999</v>
      </c>
      <c r="R33" s="119">
        <v>13.63</v>
      </c>
      <c r="S33" s="5">
        <f>L33*((E$102/O33)-1)</f>
        <v>3.4151983128103858</v>
      </c>
    </row>
    <row r="34" spans="1:19" ht="18" customHeight="1">
      <c r="A34" s="32">
        <v>12</v>
      </c>
      <c r="B34" s="18">
        <v>10</v>
      </c>
      <c r="C34" s="78">
        <v>0.70099999999999996</v>
      </c>
      <c r="D34" s="19">
        <v>0.499</v>
      </c>
      <c r="E34" s="21">
        <v>0.84272000000000002</v>
      </c>
      <c r="F34" s="19">
        <v>-0.53</v>
      </c>
      <c r="G34" s="26">
        <v>-1.0269999999999999</v>
      </c>
      <c r="H34" s="26">
        <v>21.82</v>
      </c>
      <c r="I34" s="168">
        <f t="shared" si="3"/>
        <v>0.86020267704575604</v>
      </c>
      <c r="K34" s="116">
        <v>-20</v>
      </c>
      <c r="L34" s="117">
        <v>200</v>
      </c>
      <c r="M34" s="118">
        <v>0.66300000000000003</v>
      </c>
      <c r="N34" s="130">
        <v>0.47899999999999998</v>
      </c>
      <c r="O34" s="131">
        <v>8.8559999999999993E-3</v>
      </c>
      <c r="P34" s="130">
        <v>-0.80600000000000005</v>
      </c>
      <c r="Q34" s="118">
        <v>-0.81299999999999994</v>
      </c>
      <c r="R34" s="119">
        <v>12.23</v>
      </c>
      <c r="S34" s="5">
        <f>L34*((E$110/O34)-1)</f>
        <v>3.6359530261969475</v>
      </c>
    </row>
    <row r="35" spans="1:19" ht="27.75" customHeight="1">
      <c r="A35" s="32">
        <v>12</v>
      </c>
      <c r="B35" s="18">
        <v>5</v>
      </c>
      <c r="C35" s="78">
        <v>0.55800000000000005</v>
      </c>
      <c r="D35" s="19">
        <v>0.41199999999999998</v>
      </c>
      <c r="E35" s="21">
        <v>0.78478999999999999</v>
      </c>
      <c r="F35" s="19">
        <v>-0.46</v>
      </c>
      <c r="G35" s="26">
        <v>-0.91200000000000003</v>
      </c>
      <c r="H35" s="26">
        <v>21.15</v>
      </c>
      <c r="I35" s="168">
        <f t="shared" si="3"/>
        <v>0.83092929318671294</v>
      </c>
      <c r="K35" s="121"/>
      <c r="L35" s="117"/>
      <c r="M35" s="122"/>
      <c r="N35" s="132"/>
      <c r="O35" s="133"/>
      <c r="P35" s="132"/>
      <c r="Q35" s="122"/>
      <c r="R35" s="123"/>
      <c r="S35" s="1" t="s">
        <v>22</v>
      </c>
    </row>
    <row r="36" spans="1:19" ht="20.25" customHeight="1">
      <c r="A36" s="32">
        <v>12</v>
      </c>
      <c r="B36" s="18">
        <v>2</v>
      </c>
      <c r="C36" s="78">
        <v>0.35199999999999998</v>
      </c>
      <c r="D36" s="19">
        <v>0.29699999999999999</v>
      </c>
      <c r="E36" s="21">
        <v>0.65577200000000002</v>
      </c>
      <c r="F36" s="19">
        <v>-0.34899999999999998</v>
      </c>
      <c r="G36" s="26">
        <v>-0.71499999999999997</v>
      </c>
      <c r="H36" s="26">
        <v>20.16</v>
      </c>
      <c r="I36" s="168">
        <f t="shared" si="3"/>
        <v>0.79124756775220639</v>
      </c>
      <c r="K36" s="116">
        <v>18</v>
      </c>
      <c r="L36" s="117">
        <v>50</v>
      </c>
      <c r="M36" s="118">
        <v>1.157</v>
      </c>
      <c r="N36" s="130">
        <v>0.7</v>
      </c>
      <c r="O36" s="131">
        <v>1.5733999999999999</v>
      </c>
      <c r="P36" s="130">
        <v>-0.78</v>
      </c>
      <c r="Q36" s="118">
        <v>-1.84</v>
      </c>
      <c r="R36" s="119">
        <v>26.05</v>
      </c>
      <c r="S36" s="5">
        <f>L36*((E$6/O36)-1)</f>
        <v>0.60378797508580107</v>
      </c>
    </row>
    <row r="37" spans="1:19" ht="18" customHeight="1" thickBot="1">
      <c r="A37" s="33">
        <v>12</v>
      </c>
      <c r="B37" s="34">
        <v>1</v>
      </c>
      <c r="C37" s="79">
        <v>0.218</v>
      </c>
      <c r="D37" s="38">
        <v>0.218</v>
      </c>
      <c r="E37" s="70">
        <v>0.52022900000000005</v>
      </c>
      <c r="F37" s="38">
        <v>-0.27700000000000002</v>
      </c>
      <c r="G37" s="37">
        <v>-0.56399999999999995</v>
      </c>
      <c r="H37" s="37">
        <v>19.48</v>
      </c>
      <c r="I37" s="169">
        <f t="shared" si="3"/>
        <v>0.75924640879305061</v>
      </c>
      <c r="K37" s="116">
        <v>15</v>
      </c>
      <c r="L37" s="117">
        <v>50</v>
      </c>
      <c r="M37" s="118">
        <v>1.0189999999999999</v>
      </c>
      <c r="N37" s="130">
        <v>0.61699999999999999</v>
      </c>
      <c r="O37" s="131">
        <v>1.2069700000000001</v>
      </c>
      <c r="P37" s="130">
        <v>-0.81799999999999995</v>
      </c>
      <c r="Q37" s="118">
        <v>-1.306</v>
      </c>
      <c r="R37" s="119">
        <v>23.55</v>
      </c>
      <c r="S37" s="5">
        <f>L37*((E$15/O37)-1)</f>
        <v>0.53978143615830421</v>
      </c>
    </row>
    <row r="38" spans="1:19" ht="18" customHeight="1">
      <c r="A38" s="66">
        <v>9</v>
      </c>
      <c r="B38" s="31">
        <v>10000</v>
      </c>
      <c r="C38" s="77">
        <v>0.68100000000000005</v>
      </c>
      <c r="D38" s="67">
        <v>0.42799999999999999</v>
      </c>
      <c r="E38" s="68">
        <v>0.67474800000000001</v>
      </c>
      <c r="F38" s="67">
        <v>-0.64900000000000002</v>
      </c>
      <c r="G38" s="69">
        <v>-1.123</v>
      </c>
      <c r="H38" s="69">
        <v>19.95</v>
      </c>
      <c r="I38" s="168"/>
      <c r="K38" s="116">
        <v>13</v>
      </c>
      <c r="L38" s="117">
        <v>50</v>
      </c>
      <c r="M38" s="118">
        <v>0.96</v>
      </c>
      <c r="N38" s="130">
        <v>0.61399999999999999</v>
      </c>
      <c r="O38" s="131">
        <v>0.99260000000000004</v>
      </c>
      <c r="P38" s="130">
        <v>-0.69799999999999995</v>
      </c>
      <c r="Q38" s="118">
        <v>-1.26</v>
      </c>
      <c r="R38" s="119">
        <v>23.47</v>
      </c>
      <c r="S38" s="5">
        <f>L38*((E$22/O38)-1)</f>
        <v>0.89109409631270564</v>
      </c>
    </row>
    <row r="39" spans="1:19" ht="18" customHeight="1">
      <c r="A39" s="32">
        <v>9</v>
      </c>
      <c r="B39" s="18">
        <v>200</v>
      </c>
      <c r="C39" s="78">
        <v>0.64300000000000002</v>
      </c>
      <c r="D39" s="19">
        <v>0.40899999999999997</v>
      </c>
      <c r="E39" s="21">
        <v>0.671435</v>
      </c>
      <c r="F39" s="19">
        <v>-0.63400000000000001</v>
      </c>
      <c r="G39" s="26">
        <v>-1.1100000000000001</v>
      </c>
      <c r="H39" s="26">
        <v>19.84</v>
      </c>
      <c r="I39" s="168">
        <f>B39*((E$38/E39)-1)</f>
        <v>0.98684161534623449</v>
      </c>
      <c r="K39" s="116">
        <v>12</v>
      </c>
      <c r="L39" s="117">
        <v>50</v>
      </c>
      <c r="M39" s="118">
        <v>0.85099999999999998</v>
      </c>
      <c r="N39" s="130">
        <v>0.57199999999999995</v>
      </c>
      <c r="O39" s="131">
        <v>0.89980000000000004</v>
      </c>
      <c r="P39" s="130">
        <v>-0.623</v>
      </c>
      <c r="Q39" s="118">
        <v>-1.19</v>
      </c>
      <c r="R39" s="119">
        <v>22.4</v>
      </c>
      <c r="S39" s="5">
        <f>L39*((E$30/O39)-1)</f>
        <v>0.85635696821515506</v>
      </c>
    </row>
    <row r="40" spans="1:19" ht="18" customHeight="1">
      <c r="A40" s="32">
        <v>9</v>
      </c>
      <c r="B40" s="18">
        <v>50</v>
      </c>
      <c r="C40" s="78">
        <v>0.56000000000000005</v>
      </c>
      <c r="D40" s="19">
        <v>0.377</v>
      </c>
      <c r="E40" s="21">
        <v>0.66109300000000004</v>
      </c>
      <c r="F40" s="19">
        <v>-0.60399999999999998</v>
      </c>
      <c r="G40" s="26">
        <v>-1.0660000000000001</v>
      </c>
      <c r="H40" s="26">
        <v>19.68</v>
      </c>
      <c r="I40" s="168">
        <f t="shared" ref="I40:I45" si="4">B40*((E$38/E40)-1)</f>
        <v>1.0327593848369232</v>
      </c>
      <c r="K40" s="116">
        <v>9</v>
      </c>
      <c r="L40" s="117">
        <v>50</v>
      </c>
      <c r="M40" s="118">
        <v>0.56000000000000005</v>
      </c>
      <c r="N40" s="130">
        <v>0.377</v>
      </c>
      <c r="O40" s="131">
        <v>0.66109300000000004</v>
      </c>
      <c r="P40" s="130">
        <v>-0.60399999999999998</v>
      </c>
      <c r="Q40" s="118">
        <v>-1.0660000000000001</v>
      </c>
      <c r="R40" s="119">
        <v>19.68</v>
      </c>
      <c r="S40" s="5">
        <f>L40*((E$38/O40)-1)</f>
        <v>1.0327593848369232</v>
      </c>
    </row>
    <row r="41" spans="1:19" ht="18" customHeight="1">
      <c r="A41" s="32">
        <v>9</v>
      </c>
      <c r="B41" s="18">
        <v>20</v>
      </c>
      <c r="C41" s="78">
        <v>0.44600000000000001</v>
      </c>
      <c r="D41" s="19">
        <v>0.32100000000000001</v>
      </c>
      <c r="E41" s="21">
        <v>0.64192000000000005</v>
      </c>
      <c r="F41" s="19">
        <v>-0.55400000000000005</v>
      </c>
      <c r="G41" s="26">
        <v>-0.99099999999999999</v>
      </c>
      <c r="H41" s="26">
        <v>19.34</v>
      </c>
      <c r="I41" s="168">
        <f t="shared" si="4"/>
        <v>1.0228065802592212</v>
      </c>
      <c r="K41" s="116">
        <v>7</v>
      </c>
      <c r="L41" s="117">
        <v>50</v>
      </c>
      <c r="M41" s="118">
        <v>0.53</v>
      </c>
      <c r="N41" s="130">
        <v>0.35399999999999998</v>
      </c>
      <c r="O41" s="131">
        <v>0.52314000000000005</v>
      </c>
      <c r="P41" s="130">
        <v>-0.53</v>
      </c>
      <c r="Q41" s="118">
        <v>-1.05</v>
      </c>
      <c r="R41" s="119">
        <v>20.52</v>
      </c>
      <c r="S41" s="5">
        <f>L41*((E$46/O41)-1)</f>
        <v>1.1995832855449806</v>
      </c>
    </row>
    <row r="42" spans="1:19" ht="18" customHeight="1">
      <c r="A42" s="32">
        <v>9</v>
      </c>
      <c r="B42" s="18">
        <v>10</v>
      </c>
      <c r="C42" s="78">
        <v>0.32800000000000001</v>
      </c>
      <c r="D42" s="19">
        <v>0.25900000000000001</v>
      </c>
      <c r="E42" s="21">
        <v>0.61399999999999999</v>
      </c>
      <c r="F42" s="19">
        <v>-0.5</v>
      </c>
      <c r="G42" s="26">
        <v>-0.9</v>
      </c>
      <c r="H42" s="26">
        <v>18.920000000000002</v>
      </c>
      <c r="I42" s="168">
        <f t="shared" si="4"/>
        <v>0.98938110749185793</v>
      </c>
      <c r="K42" s="116">
        <v>6</v>
      </c>
      <c r="L42" s="117">
        <v>50</v>
      </c>
      <c r="M42" s="118">
        <v>0.35199999999999998</v>
      </c>
      <c r="N42" s="130">
        <v>0.216</v>
      </c>
      <c r="O42" s="131">
        <v>0.46761900000000001</v>
      </c>
      <c r="P42" s="130">
        <v>-0.53</v>
      </c>
      <c r="Q42" s="118">
        <v>-0.95499999999999996</v>
      </c>
      <c r="R42" s="119">
        <v>18.059999999999999</v>
      </c>
      <c r="S42" s="5">
        <f>L42*((E$54/O42)-1)</f>
        <v>1.2992414765011673</v>
      </c>
    </row>
    <row r="43" spans="1:19" ht="18" customHeight="1">
      <c r="A43" s="32">
        <v>9</v>
      </c>
      <c r="B43" s="18">
        <v>5</v>
      </c>
      <c r="C43" s="78">
        <v>0.19800000000000001</v>
      </c>
      <c r="D43" s="19">
        <v>0.185</v>
      </c>
      <c r="E43" s="21">
        <v>0.56611299999999998</v>
      </c>
      <c r="F43" s="19">
        <v>-0.42799999999999999</v>
      </c>
      <c r="G43" s="26">
        <v>-0.77100000000000002</v>
      </c>
      <c r="H43" s="26">
        <v>18.420000000000002</v>
      </c>
      <c r="I43" s="168">
        <f t="shared" si="4"/>
        <v>0.95948158759823654</v>
      </c>
      <c r="K43" s="116">
        <v>3</v>
      </c>
      <c r="L43" s="117">
        <v>50</v>
      </c>
      <c r="M43" s="118">
        <v>0.20399999999999999</v>
      </c>
      <c r="N43" s="130">
        <v>0.217</v>
      </c>
      <c r="O43" s="131">
        <v>0.31902399999999997</v>
      </c>
      <c r="P43" s="130">
        <v>-0.4</v>
      </c>
      <c r="Q43" s="118">
        <v>-0.89</v>
      </c>
      <c r="R43" s="119">
        <v>16.98</v>
      </c>
      <c r="S43" s="5">
        <f>L43*((E$62/O43)-1)</f>
        <v>1.6365539896684878</v>
      </c>
    </row>
    <row r="44" spans="1:19" ht="18" customHeight="1">
      <c r="A44" s="32">
        <v>9</v>
      </c>
      <c r="B44" s="18">
        <v>2</v>
      </c>
      <c r="C44" s="78">
        <v>4.4999999999999998E-2</v>
      </c>
      <c r="D44" s="19">
        <v>9.4E-2</v>
      </c>
      <c r="E44" s="21">
        <v>0.46550999999999998</v>
      </c>
      <c r="F44" s="19">
        <v>-0.313</v>
      </c>
      <c r="G44" s="26">
        <v>-0.57199999999999995</v>
      </c>
      <c r="H44" s="26">
        <v>17.68</v>
      </c>
      <c r="I44" s="168">
        <f t="shared" si="4"/>
        <v>0.8989624283044404</v>
      </c>
      <c r="K44" s="116">
        <v>0</v>
      </c>
      <c r="L44" s="117">
        <v>50</v>
      </c>
      <c r="M44" s="118">
        <v>8.7999999999999995E-2</v>
      </c>
      <c r="N44" s="130">
        <v>0.16300000000000001</v>
      </c>
      <c r="O44" s="131">
        <v>0.21240999999999999</v>
      </c>
      <c r="P44" s="130">
        <v>-0.39</v>
      </c>
      <c r="Q44" s="118">
        <v>-0.85</v>
      </c>
      <c r="R44" s="119">
        <v>16.75</v>
      </c>
      <c r="S44" s="5">
        <f>L44*((E$70/O44)-1)</f>
        <v>1.9855468198295756</v>
      </c>
    </row>
    <row r="45" spans="1:19" ht="18" customHeight="1" thickBot="1">
      <c r="A45" s="33">
        <v>9</v>
      </c>
      <c r="B45" s="34">
        <v>1</v>
      </c>
      <c r="C45" s="79">
        <v>-4.9000000000000002E-2</v>
      </c>
      <c r="D45" s="38">
        <v>3.5000000000000003E-2</v>
      </c>
      <c r="E45" s="70">
        <v>0.36491000000000001</v>
      </c>
      <c r="F45" s="38">
        <v>-0.23300000000000001</v>
      </c>
      <c r="G45" s="37">
        <v>-0.432</v>
      </c>
      <c r="H45" s="37">
        <v>17.149999999999999</v>
      </c>
      <c r="I45" s="169">
        <f t="shared" si="4"/>
        <v>0.84908059521525847</v>
      </c>
      <c r="K45" s="116">
        <v>-3</v>
      </c>
      <c r="L45" s="117">
        <v>50</v>
      </c>
      <c r="M45" s="118">
        <f>-0.023*1.525</f>
        <v>-3.5074999999999995E-2</v>
      </c>
      <c r="N45" s="130">
        <f>0.068*1.525</f>
        <v>0.1037</v>
      </c>
      <c r="O45" s="131">
        <v>0.14063500000000001</v>
      </c>
      <c r="P45" s="130">
        <f>-0.244*1.525</f>
        <v>-0.37209999999999999</v>
      </c>
      <c r="Q45" s="118">
        <f>-0.558*1.525</f>
        <v>-0.85094999999999998</v>
      </c>
      <c r="R45" s="119">
        <v>15.25</v>
      </c>
      <c r="S45" s="5">
        <f>L45*((E$78/O45)-1)</f>
        <v>2.3671205603157053</v>
      </c>
    </row>
    <row r="46" spans="1:19" ht="18" customHeight="1">
      <c r="A46" s="66">
        <v>7</v>
      </c>
      <c r="B46" s="31">
        <v>10000</v>
      </c>
      <c r="C46" s="77">
        <v>0.72199999999999998</v>
      </c>
      <c r="D46" s="67">
        <v>0.44</v>
      </c>
      <c r="E46" s="71">
        <v>0.53569100000000003</v>
      </c>
      <c r="F46" s="67">
        <v>-0.57999999999999996</v>
      </c>
      <c r="G46" s="69">
        <v>-1.1299999999999999</v>
      </c>
      <c r="H46" s="69">
        <v>20.88</v>
      </c>
      <c r="I46" s="168"/>
      <c r="K46" s="116">
        <v>-8</v>
      </c>
      <c r="L46" s="117">
        <v>50</v>
      </c>
      <c r="M46" s="118">
        <v>-0.217</v>
      </c>
      <c r="N46" s="130">
        <v>-4.0000000000000001E-3</v>
      </c>
      <c r="O46" s="131">
        <v>6.7093E-2</v>
      </c>
      <c r="P46" s="130">
        <v>-0.40899999999999997</v>
      </c>
      <c r="Q46" s="118">
        <v>-1.0449999999999999</v>
      </c>
      <c r="R46" s="119">
        <v>13.68</v>
      </c>
      <c r="S46" s="5">
        <f>L46*((E$86/O46)-1)</f>
        <v>2.9377133232975083</v>
      </c>
    </row>
    <row r="47" spans="1:19" ht="18" customHeight="1">
      <c r="A47" s="32">
        <v>7</v>
      </c>
      <c r="B47" s="18">
        <v>200</v>
      </c>
      <c r="C47" s="78">
        <v>0.66300000000000003</v>
      </c>
      <c r="D47" s="19">
        <v>0.41599999999999998</v>
      </c>
      <c r="E47" s="22">
        <v>0.53237999999999996</v>
      </c>
      <c r="F47" s="19">
        <v>-0.56399999999999995</v>
      </c>
      <c r="G47" s="26">
        <v>-1.107</v>
      </c>
      <c r="H47" s="26">
        <v>20.79</v>
      </c>
      <c r="I47" s="168">
        <f>B47*((E$46/E47)-1)</f>
        <v>1.2438483789774413</v>
      </c>
      <c r="K47" s="116">
        <v>-12</v>
      </c>
      <c r="L47" s="117">
        <v>50</v>
      </c>
      <c r="M47" s="118">
        <v>-0.41299999999999998</v>
      </c>
      <c r="N47" s="130">
        <v>4.7E-2</v>
      </c>
      <c r="O47" s="131">
        <v>3.4217999999999998E-2</v>
      </c>
      <c r="P47" s="130">
        <v>-0.60199999999999998</v>
      </c>
      <c r="Q47" s="118">
        <v>-1.0920000000000001</v>
      </c>
      <c r="R47" s="119">
        <v>12.85</v>
      </c>
      <c r="S47" s="5">
        <f>L47*((E$94/O47)-1)</f>
        <v>3.2921269507276918</v>
      </c>
    </row>
    <row r="48" spans="1:19" ht="18" customHeight="1">
      <c r="A48" s="32">
        <v>7</v>
      </c>
      <c r="B48" s="18">
        <v>50</v>
      </c>
      <c r="C48" s="78">
        <v>0.53</v>
      </c>
      <c r="D48" s="19">
        <v>0.35399999999999998</v>
      </c>
      <c r="E48" s="22">
        <v>0.52314000000000005</v>
      </c>
      <c r="F48" s="19">
        <v>-0.53</v>
      </c>
      <c r="G48" s="26">
        <v>-1.05</v>
      </c>
      <c r="H48" s="26">
        <v>20.52</v>
      </c>
      <c r="I48" s="168">
        <f t="shared" ref="I48:I53" si="5">B48*((E$46/E48)-1)</f>
        <v>1.1995832855449806</v>
      </c>
      <c r="K48" s="116">
        <v>-17</v>
      </c>
      <c r="L48" s="117">
        <v>50</v>
      </c>
      <c r="M48" s="118">
        <v>-0.59199999999999997</v>
      </c>
      <c r="N48" s="130">
        <v>0.11</v>
      </c>
      <c r="O48" s="131">
        <v>1.3965E-2</v>
      </c>
      <c r="P48" s="130">
        <v>-0.69599999999999995</v>
      </c>
      <c r="Q48" s="118">
        <v>-1.2330000000000001</v>
      </c>
      <c r="R48" s="119">
        <v>13.63</v>
      </c>
      <c r="S48" s="5">
        <f>L48*((E$102/O48)-1)</f>
        <v>3.5266738274257081</v>
      </c>
    </row>
    <row r="49" spans="1:19" ht="18" customHeight="1">
      <c r="A49" s="32">
        <v>7</v>
      </c>
      <c r="B49" s="18">
        <v>20</v>
      </c>
      <c r="C49" s="78">
        <v>0.375</v>
      </c>
      <c r="D49" s="19">
        <v>0.27600000000000002</v>
      </c>
      <c r="E49" s="22">
        <v>0.50587000000000004</v>
      </c>
      <c r="F49" s="19">
        <v>-0.46600000000000003</v>
      </c>
      <c r="G49" s="26">
        <v>-0.95499999999999996</v>
      </c>
      <c r="H49" s="26">
        <v>20.190000000000001</v>
      </c>
      <c r="I49" s="168">
        <f t="shared" si="5"/>
        <v>1.1789985569415062</v>
      </c>
      <c r="K49" s="116">
        <v>-20</v>
      </c>
      <c r="L49" s="117">
        <v>50</v>
      </c>
      <c r="M49" s="118">
        <v>-0.36599999999999999</v>
      </c>
      <c r="N49" s="130">
        <v>0.14299999999999999</v>
      </c>
      <c r="O49" s="131">
        <v>8.4139999999999996E-3</v>
      </c>
      <c r="P49" s="130">
        <v>-0.68100000000000005</v>
      </c>
      <c r="Q49" s="118">
        <v>-0.63800000000000001</v>
      </c>
      <c r="R49" s="119">
        <v>12.18</v>
      </c>
      <c r="S49" s="5">
        <f>L49*((E$110/O49)-1)</f>
        <v>3.5833135250772585</v>
      </c>
    </row>
    <row r="50" spans="1:19" ht="27" customHeight="1">
      <c r="A50" s="32">
        <v>7</v>
      </c>
      <c r="B50" s="18">
        <v>10</v>
      </c>
      <c r="C50" s="78">
        <v>0.23499999999999999</v>
      </c>
      <c r="D50" s="19">
        <v>0.19500000000000001</v>
      </c>
      <c r="E50" s="22">
        <v>0.48137000000000002</v>
      </c>
      <c r="F50" s="19">
        <v>-0.39800000000000002</v>
      </c>
      <c r="G50" s="26">
        <v>-0.83899999999999997</v>
      </c>
      <c r="H50" s="26">
        <v>19.77</v>
      </c>
      <c r="I50" s="168">
        <f t="shared" si="5"/>
        <v>1.128466668051602</v>
      </c>
      <c r="K50" s="121"/>
      <c r="L50" s="117"/>
      <c r="M50" s="122"/>
      <c r="N50" s="132"/>
      <c r="O50" s="133"/>
      <c r="P50" s="132"/>
      <c r="Q50" s="122"/>
      <c r="R50" s="123"/>
      <c r="S50" s="1" t="s">
        <v>23</v>
      </c>
    </row>
    <row r="51" spans="1:19" ht="18" customHeight="1">
      <c r="A51" s="32">
        <v>7</v>
      </c>
      <c r="B51" s="18">
        <v>5</v>
      </c>
      <c r="C51" s="78">
        <v>9.6000000000000002E-2</v>
      </c>
      <c r="D51" s="19">
        <v>0.104</v>
      </c>
      <c r="E51" s="22">
        <v>0.44091000000000002</v>
      </c>
      <c r="F51" s="19">
        <v>-0.31</v>
      </c>
      <c r="G51" s="26">
        <v>-0.69</v>
      </c>
      <c r="H51" s="26">
        <v>19.21</v>
      </c>
      <c r="I51" s="168">
        <f t="shared" si="5"/>
        <v>1.0748338663219248</v>
      </c>
      <c r="K51" s="116">
        <v>18</v>
      </c>
      <c r="L51" s="117">
        <v>20</v>
      </c>
      <c r="M51" s="118">
        <v>1.127</v>
      </c>
      <c r="N51" s="130">
        <v>0.68</v>
      </c>
      <c r="O51" s="131">
        <v>1.546</v>
      </c>
      <c r="P51" s="130">
        <v>-0.77</v>
      </c>
      <c r="Q51" s="118">
        <v>-1.806</v>
      </c>
      <c r="R51" s="119">
        <v>25.76</v>
      </c>
      <c r="S51" s="5">
        <f>L51*((E$6/O51)-1)</f>
        <v>0.60025873221216219</v>
      </c>
    </row>
    <row r="52" spans="1:19" ht="18" customHeight="1">
      <c r="A52" s="32">
        <v>7</v>
      </c>
      <c r="B52" s="18">
        <v>2</v>
      </c>
      <c r="C52" s="78">
        <v>-5.1999999999999998E-2</v>
      </c>
      <c r="D52" s="19">
        <v>5.0000000000000001E-3</v>
      </c>
      <c r="E52" s="22">
        <v>0.35878300000000002</v>
      </c>
      <c r="F52" s="19">
        <v>-0.19</v>
      </c>
      <c r="G52" s="26">
        <v>-0.47</v>
      </c>
      <c r="H52" s="26">
        <v>18.510000000000002</v>
      </c>
      <c r="I52" s="168">
        <f t="shared" si="5"/>
        <v>0.98615597728989401</v>
      </c>
      <c r="K52" s="116">
        <v>15</v>
      </c>
      <c r="L52" s="117">
        <v>20</v>
      </c>
      <c r="M52" s="118">
        <v>0.97399999999999998</v>
      </c>
      <c r="N52" s="130">
        <v>0.58599999999999997</v>
      </c>
      <c r="O52" s="131">
        <v>1.1821999999999999</v>
      </c>
      <c r="P52" s="130">
        <v>-0.8</v>
      </c>
      <c r="Q52" s="118">
        <v>-1.28</v>
      </c>
      <c r="R52" s="119">
        <v>23.42</v>
      </c>
      <c r="S52" s="5">
        <f>L52*((E$15/O52)-1)</f>
        <v>0.63948570461850984</v>
      </c>
    </row>
    <row r="53" spans="1:19" ht="18" customHeight="1" thickBot="1">
      <c r="A53" s="33">
        <v>7</v>
      </c>
      <c r="B53" s="34">
        <v>1</v>
      </c>
      <c r="C53" s="79">
        <v>-0.13700000000000001</v>
      </c>
      <c r="D53" s="38">
        <v>-5.3999999999999999E-2</v>
      </c>
      <c r="E53" s="36">
        <v>0.27895999999999999</v>
      </c>
      <c r="F53" s="38">
        <v>-0.105</v>
      </c>
      <c r="G53" s="37">
        <v>-0.317</v>
      </c>
      <c r="H53" s="37">
        <v>18.09</v>
      </c>
      <c r="I53" s="169">
        <f t="shared" si="5"/>
        <v>0.92031474046458284</v>
      </c>
      <c r="K53" s="116">
        <v>13</v>
      </c>
      <c r="L53" s="117">
        <v>20</v>
      </c>
      <c r="M53" s="118">
        <v>0.84099999999999997</v>
      </c>
      <c r="N53" s="130">
        <v>0.53600000000000003</v>
      </c>
      <c r="O53" s="131">
        <v>0.97109999999999996</v>
      </c>
      <c r="P53" s="130">
        <v>-0.66500000000000004</v>
      </c>
      <c r="Q53" s="118">
        <v>-1.2050000000000001</v>
      </c>
      <c r="R53" s="119">
        <v>22.65</v>
      </c>
      <c r="S53" s="5">
        <f>L53*((E$22/O53)-1)</f>
        <v>0.80712593965605706</v>
      </c>
    </row>
    <row r="54" spans="1:19" ht="18" customHeight="1">
      <c r="A54" s="66">
        <v>6</v>
      </c>
      <c r="B54" s="31">
        <v>10000</v>
      </c>
      <c r="C54" s="77">
        <v>0.55300000000000005</v>
      </c>
      <c r="D54" s="67">
        <v>0.30299999999999999</v>
      </c>
      <c r="E54" s="71">
        <v>0.47976999999999997</v>
      </c>
      <c r="F54" s="67">
        <v>-0.58199999999999996</v>
      </c>
      <c r="G54" s="69">
        <v>-1.04</v>
      </c>
      <c r="H54" s="69">
        <v>18.38</v>
      </c>
      <c r="I54" s="168"/>
      <c r="K54" s="116">
        <v>12</v>
      </c>
      <c r="L54" s="117">
        <v>20</v>
      </c>
      <c r="M54" s="118">
        <v>0.77600000000000002</v>
      </c>
      <c r="N54" s="130">
        <v>0.54</v>
      </c>
      <c r="O54" s="131">
        <v>0.87725900000000001</v>
      </c>
      <c r="P54" s="130">
        <v>-0.57999999999999996</v>
      </c>
      <c r="Q54" s="118">
        <v>-1.115</v>
      </c>
      <c r="R54" s="119">
        <v>22.12</v>
      </c>
      <c r="S54" s="5">
        <f>L54*((E$30/O54)-1)</f>
        <v>0.86524048200132597</v>
      </c>
    </row>
    <row r="55" spans="1:19" ht="18" customHeight="1">
      <c r="A55" s="32">
        <v>6</v>
      </c>
      <c r="B55" s="18">
        <v>200</v>
      </c>
      <c r="C55" s="78">
        <v>0.49</v>
      </c>
      <c r="D55" s="19">
        <v>0.28100000000000003</v>
      </c>
      <c r="E55" s="22">
        <v>0.47655500000000001</v>
      </c>
      <c r="F55" s="19">
        <v>-0.56999999999999995</v>
      </c>
      <c r="G55" s="26">
        <v>-1.01</v>
      </c>
      <c r="H55" s="26">
        <v>18.29</v>
      </c>
      <c r="I55" s="168">
        <f>B55*((E$54/E55)-1)</f>
        <v>1.3492671360073594</v>
      </c>
      <c r="K55" s="116">
        <v>9</v>
      </c>
      <c r="L55" s="117">
        <v>20</v>
      </c>
      <c r="M55" s="118">
        <v>0.44600000000000001</v>
      </c>
      <c r="N55" s="130">
        <v>0.32100000000000001</v>
      </c>
      <c r="O55" s="131">
        <v>0.64192000000000005</v>
      </c>
      <c r="P55" s="130">
        <v>-0.55400000000000005</v>
      </c>
      <c r="Q55" s="118">
        <v>-0.99099999999999999</v>
      </c>
      <c r="R55" s="119">
        <v>19.34</v>
      </c>
      <c r="S55" s="5">
        <f>L55*((E$38/O55)-1)</f>
        <v>1.0228065802592212</v>
      </c>
    </row>
    <row r="56" spans="1:19" ht="18" customHeight="1">
      <c r="A56" s="32">
        <v>6</v>
      </c>
      <c r="B56" s="18">
        <v>50</v>
      </c>
      <c r="C56" s="78">
        <v>0.35199999999999998</v>
      </c>
      <c r="D56" s="19">
        <v>0.216</v>
      </c>
      <c r="E56" s="22">
        <v>0.46761900000000001</v>
      </c>
      <c r="F56" s="19">
        <v>-0.53</v>
      </c>
      <c r="G56" s="26">
        <v>-0.95499999999999996</v>
      </c>
      <c r="H56" s="26">
        <v>18.059999999999999</v>
      </c>
      <c r="I56" s="168">
        <f t="shared" ref="I56:I61" si="6">B56*((E$54/E56)-1)</f>
        <v>1.2992414765011673</v>
      </c>
      <c r="K56" s="116">
        <v>7</v>
      </c>
      <c r="L56" s="117">
        <v>20</v>
      </c>
      <c r="M56" s="118">
        <v>0.375</v>
      </c>
      <c r="N56" s="130">
        <v>0.27600000000000002</v>
      </c>
      <c r="O56" s="131">
        <v>0.50587000000000004</v>
      </c>
      <c r="P56" s="130">
        <v>-0.46600000000000003</v>
      </c>
      <c r="Q56" s="118">
        <v>-0.95499999999999996</v>
      </c>
      <c r="R56" s="119">
        <v>20.190000000000001</v>
      </c>
      <c r="S56" s="5">
        <f>L56*((E$46/O56)-1)</f>
        <v>1.1789985569415062</v>
      </c>
    </row>
    <row r="57" spans="1:19" ht="18" customHeight="1">
      <c r="A57" s="32">
        <v>6</v>
      </c>
      <c r="B57" s="18">
        <v>20</v>
      </c>
      <c r="C57" s="78">
        <v>0.2</v>
      </c>
      <c r="D57" s="19">
        <v>0.13300000000000001</v>
      </c>
      <c r="E57" s="22">
        <v>0.45135399999999998</v>
      </c>
      <c r="F57" s="19">
        <v>-0.47</v>
      </c>
      <c r="G57" s="26">
        <v>-0.86</v>
      </c>
      <c r="H57" s="26">
        <v>17.739999999999998</v>
      </c>
      <c r="I57" s="168">
        <f t="shared" si="6"/>
        <v>1.2591447068154915</v>
      </c>
      <c r="K57" s="116">
        <v>6</v>
      </c>
      <c r="L57" s="117">
        <v>20</v>
      </c>
      <c r="M57" s="118">
        <v>0.2</v>
      </c>
      <c r="N57" s="130">
        <v>0.13300000000000001</v>
      </c>
      <c r="O57" s="131">
        <v>0.45135399999999998</v>
      </c>
      <c r="P57" s="130">
        <v>-0.47</v>
      </c>
      <c r="Q57" s="118">
        <v>-0.86</v>
      </c>
      <c r="R57" s="119">
        <v>17.739999999999998</v>
      </c>
      <c r="S57" s="5">
        <f>L57*((E$54/O57)-1)</f>
        <v>1.2591447068154915</v>
      </c>
    </row>
    <row r="58" spans="1:19" ht="18" customHeight="1">
      <c r="A58" s="32">
        <v>6</v>
      </c>
      <c r="B58" s="18">
        <v>10</v>
      </c>
      <c r="C58" s="78">
        <v>6.9000000000000006E-2</v>
      </c>
      <c r="D58" s="19">
        <v>5.5E-2</v>
      </c>
      <c r="E58" s="22">
        <v>0.42846200000000001</v>
      </c>
      <c r="F58" s="19">
        <v>-0.39900000000000002</v>
      </c>
      <c r="G58" s="26">
        <v>-0.747</v>
      </c>
      <c r="H58" s="26">
        <v>17.34</v>
      </c>
      <c r="I58" s="168">
        <f t="shared" si="6"/>
        <v>1.1974924263995401</v>
      </c>
      <c r="K58" s="116">
        <v>3</v>
      </c>
      <c r="L58" s="117">
        <v>20</v>
      </c>
      <c r="M58" s="118">
        <v>-2E-3</v>
      </c>
      <c r="N58" s="130">
        <v>0.104</v>
      </c>
      <c r="O58" s="131">
        <v>0.30576999999999999</v>
      </c>
      <c r="P58" s="130">
        <v>-0.32300000000000001</v>
      </c>
      <c r="Q58" s="118">
        <v>-0.76500000000000001</v>
      </c>
      <c r="R58" s="119">
        <v>16.64</v>
      </c>
      <c r="S58" s="5">
        <f>L58*((E$62/O58)-1)</f>
        <v>1.549923144847436</v>
      </c>
    </row>
    <row r="59" spans="1:19" ht="18" customHeight="1">
      <c r="A59" s="32">
        <v>6</v>
      </c>
      <c r="B59" s="18">
        <v>5</v>
      </c>
      <c r="C59" s="78">
        <v>-5.2999999999999999E-2</v>
      </c>
      <c r="D59" s="19">
        <v>-2.5999999999999999E-2</v>
      </c>
      <c r="E59" s="22">
        <v>0.39111000000000001</v>
      </c>
      <c r="F59" s="19">
        <v>-0.315</v>
      </c>
      <c r="G59" s="26">
        <v>-0.60299999999999998</v>
      </c>
      <c r="H59" s="26">
        <v>16.87</v>
      </c>
      <c r="I59" s="168">
        <f t="shared" si="6"/>
        <v>1.1334407200020447</v>
      </c>
      <c r="K59" s="116">
        <v>0</v>
      </c>
      <c r="L59" s="117">
        <v>20</v>
      </c>
      <c r="M59" s="118">
        <v>-0.21299999999999999</v>
      </c>
      <c r="N59" s="130">
        <v>3.0000000000000001E-3</v>
      </c>
      <c r="O59" s="131">
        <v>0.20186899999999999</v>
      </c>
      <c r="P59" s="130">
        <v>-0.27700000000000002</v>
      </c>
      <c r="Q59" s="118">
        <v>-0.68700000000000006</v>
      </c>
      <c r="R59" s="119">
        <v>16.39</v>
      </c>
      <c r="S59" s="5">
        <f>L59*((E$70/O59)-1)</f>
        <v>1.8800311092837463</v>
      </c>
    </row>
    <row r="60" spans="1:19" ht="18" customHeight="1">
      <c r="A60" s="32">
        <v>6</v>
      </c>
      <c r="B60" s="18">
        <v>2</v>
      </c>
      <c r="C60" s="78">
        <v>-0.18</v>
      </c>
      <c r="D60" s="19">
        <v>-0.11700000000000001</v>
      </c>
      <c r="E60" s="22">
        <v>0.31681999999999999</v>
      </c>
      <c r="F60" s="19">
        <v>-0.21</v>
      </c>
      <c r="G60" s="26">
        <v>-0.40100000000000002</v>
      </c>
      <c r="H60" s="26">
        <v>16.170000000000002</v>
      </c>
      <c r="I60" s="168">
        <f t="shared" si="6"/>
        <v>1.0286598068303769</v>
      </c>
      <c r="K60" s="116">
        <v>-3</v>
      </c>
      <c r="L60" s="117">
        <v>20</v>
      </c>
      <c r="M60" s="118">
        <f>-0.294*1.49</f>
        <v>-0.43805999999999995</v>
      </c>
      <c r="N60" s="130">
        <f>-0.064*1.49</f>
        <v>-9.536E-2</v>
      </c>
      <c r="O60" s="131">
        <v>0.13244900000000001</v>
      </c>
      <c r="P60" s="130">
        <f>-0.161*1.49</f>
        <v>-0.23988999999999999</v>
      </c>
      <c r="Q60" s="118">
        <f>-0.44*1.49</f>
        <v>-0.65559999999999996</v>
      </c>
      <c r="R60" s="119">
        <v>14.9</v>
      </c>
      <c r="S60" s="5">
        <f>L60*((E$78/O60)-1)</f>
        <v>2.2414665267385914</v>
      </c>
    </row>
    <row r="61" spans="1:19" ht="18" customHeight="1" thickBot="1">
      <c r="A61" s="33">
        <v>6</v>
      </c>
      <c r="B61" s="34">
        <v>1</v>
      </c>
      <c r="C61" s="79">
        <v>-0.253</v>
      </c>
      <c r="D61" s="38">
        <v>-0.16900000000000001</v>
      </c>
      <c r="E61" s="36">
        <v>0.24562999999999999</v>
      </c>
      <c r="F61" s="38">
        <v>-0.14000000000000001</v>
      </c>
      <c r="G61" s="37">
        <v>-0.27</v>
      </c>
      <c r="H61" s="37">
        <v>15.71</v>
      </c>
      <c r="I61" s="169">
        <f t="shared" si="6"/>
        <v>0.95322232626307857</v>
      </c>
      <c r="K61" s="116">
        <v>-8</v>
      </c>
      <c r="L61" s="117">
        <v>20</v>
      </c>
      <c r="M61" s="118">
        <v>-0.875</v>
      </c>
      <c r="N61" s="130">
        <v>-0.32700000000000001</v>
      </c>
      <c r="O61" s="131">
        <v>6.2236E-2</v>
      </c>
      <c r="P61" s="130">
        <v>-0.23899999999999999</v>
      </c>
      <c r="Q61" s="118">
        <v>-0.79800000000000004</v>
      </c>
      <c r="R61" s="119">
        <v>13.48</v>
      </c>
      <c r="S61" s="5">
        <f>L61*((E$86/O61)-1)</f>
        <v>2.8276238832829881</v>
      </c>
    </row>
    <row r="62" spans="1:19" ht="18" customHeight="1">
      <c r="A62" s="66">
        <v>3</v>
      </c>
      <c r="B62" s="31">
        <v>10000</v>
      </c>
      <c r="C62" s="77">
        <v>0.51200000000000001</v>
      </c>
      <c r="D62" s="67">
        <v>0.34799999999999998</v>
      </c>
      <c r="E62" s="71">
        <v>0.32946599999999998</v>
      </c>
      <c r="F62" s="67">
        <v>-0.47699999999999998</v>
      </c>
      <c r="G62" s="69">
        <v>-1.004</v>
      </c>
      <c r="H62" s="69">
        <v>17.27</v>
      </c>
      <c r="I62" s="168"/>
      <c r="K62" s="116">
        <v>-12</v>
      </c>
      <c r="L62" s="117">
        <v>20</v>
      </c>
      <c r="M62" s="118">
        <v>-1.335</v>
      </c>
      <c r="N62" s="130">
        <v>-0.374</v>
      </c>
      <c r="O62" s="131">
        <v>3.1423E-2</v>
      </c>
      <c r="P62" s="130">
        <v>-0.40600000000000003</v>
      </c>
      <c r="Q62" s="118">
        <v>-0.81299999999999994</v>
      </c>
      <c r="R62" s="119">
        <v>12.74</v>
      </c>
      <c r="S62" s="5">
        <f>L62*((E$94/O62)-1)</f>
        <v>3.2129332017948675</v>
      </c>
    </row>
    <row r="63" spans="1:19" ht="18" customHeight="1">
      <c r="A63" s="32">
        <v>3</v>
      </c>
      <c r="B63" s="18">
        <v>200</v>
      </c>
      <c r="C63" s="78">
        <v>0.40899999999999997</v>
      </c>
      <c r="D63" s="19">
        <v>0.31</v>
      </c>
      <c r="E63" s="22">
        <v>0.326654</v>
      </c>
      <c r="F63" s="19">
        <v>-0.45</v>
      </c>
      <c r="G63" s="26">
        <v>-0.97199999999999998</v>
      </c>
      <c r="H63" s="26">
        <v>17.2</v>
      </c>
      <c r="I63" s="168">
        <f>B63*((E$62/E63)-1)</f>
        <v>1.7216994128343543</v>
      </c>
      <c r="K63" s="116">
        <v>-17</v>
      </c>
      <c r="L63" s="117">
        <v>20</v>
      </c>
      <c r="M63" s="118">
        <v>-1.978</v>
      </c>
      <c r="N63" s="130">
        <v>-0.44</v>
      </c>
      <c r="O63" s="131">
        <v>1.2728E-2</v>
      </c>
      <c r="P63" s="130">
        <v>-0.45</v>
      </c>
      <c r="Q63" s="118">
        <v>-0.9</v>
      </c>
      <c r="R63" s="119">
        <v>13.57</v>
      </c>
      <c r="S63" s="5">
        <f>L63*((E$102/O63)-1)</f>
        <v>3.4915147705845362</v>
      </c>
    </row>
    <row r="64" spans="1:19" ht="18" customHeight="1">
      <c r="A64" s="32">
        <v>3</v>
      </c>
      <c r="B64" s="18">
        <v>50</v>
      </c>
      <c r="C64" s="78">
        <v>0.20399999999999999</v>
      </c>
      <c r="D64" s="19">
        <v>0.217</v>
      </c>
      <c r="E64" s="22">
        <v>0.31902399999999997</v>
      </c>
      <c r="F64" s="19">
        <v>-0.4</v>
      </c>
      <c r="G64" s="26">
        <v>-0.89</v>
      </c>
      <c r="H64" s="26">
        <v>16.98</v>
      </c>
      <c r="I64" s="168">
        <f t="shared" ref="I64:I69" si="7">B64*((E$62/E64)-1)</f>
        <v>1.6365539896684878</v>
      </c>
      <c r="K64" s="116">
        <v>-20</v>
      </c>
      <c r="L64" s="117">
        <v>20</v>
      </c>
      <c r="M64" s="118">
        <v>-1.694</v>
      </c>
      <c r="N64" s="130">
        <v>-0.35799999999999998</v>
      </c>
      <c r="O64" s="131">
        <v>7.6490000000000004E-3</v>
      </c>
      <c r="P64" s="130">
        <v>-0.45600000000000002</v>
      </c>
      <c r="Q64" s="118">
        <v>-0.33600000000000002</v>
      </c>
      <c r="R64" s="119">
        <v>12.14</v>
      </c>
      <c r="S64" s="5">
        <f>L64*((E$110/O64)-1)</f>
        <v>3.5769381618512242</v>
      </c>
    </row>
    <row r="65" spans="1:19" ht="27" customHeight="1">
      <c r="A65" s="32">
        <v>3</v>
      </c>
      <c r="B65" s="18">
        <v>20</v>
      </c>
      <c r="C65" s="78">
        <v>-2E-3</v>
      </c>
      <c r="D65" s="19">
        <v>0.104</v>
      </c>
      <c r="E65" s="22">
        <v>0.30576999999999999</v>
      </c>
      <c r="F65" s="19">
        <v>-0.32300000000000001</v>
      </c>
      <c r="G65" s="26">
        <v>-0.76500000000000001</v>
      </c>
      <c r="H65" s="26">
        <v>16.64</v>
      </c>
      <c r="I65" s="168">
        <f t="shared" si="7"/>
        <v>1.549923144847436</v>
      </c>
      <c r="K65" s="121"/>
      <c r="L65" s="117"/>
      <c r="M65" s="122"/>
      <c r="N65" s="132"/>
      <c r="O65" s="133"/>
      <c r="P65" s="132"/>
      <c r="Q65" s="122"/>
      <c r="R65" s="123"/>
      <c r="S65" s="2" t="s">
        <v>24</v>
      </c>
    </row>
    <row r="66" spans="1:19" ht="15.75" customHeight="1">
      <c r="A66" s="32">
        <v>3</v>
      </c>
      <c r="B66" s="18">
        <v>10</v>
      </c>
      <c r="C66" s="78">
        <v>-0.154</v>
      </c>
      <c r="D66" s="19">
        <v>0.01</v>
      </c>
      <c r="E66" s="22">
        <v>0.28769800000000001</v>
      </c>
      <c r="F66" s="19">
        <v>-0.23599999999999999</v>
      </c>
      <c r="G66" s="26">
        <v>-0.626</v>
      </c>
      <c r="H66" s="26">
        <v>16.260000000000002</v>
      </c>
      <c r="I66" s="168">
        <f t="shared" si="7"/>
        <v>1.4518001515478018</v>
      </c>
      <c r="K66" s="116">
        <v>18</v>
      </c>
      <c r="L66" s="117">
        <v>10</v>
      </c>
      <c r="M66" s="118">
        <v>1.0860000000000001</v>
      </c>
      <c r="N66" s="130">
        <v>0.66400000000000003</v>
      </c>
      <c r="O66" s="131">
        <v>1.5017</v>
      </c>
      <c r="P66" s="130">
        <v>-0.74</v>
      </c>
      <c r="Q66" s="118">
        <v>-1.75</v>
      </c>
      <c r="R66" s="119">
        <v>25.32</v>
      </c>
      <c r="S66" s="5">
        <f>L66*((E$6/O66)-1)</f>
        <v>0.6039821535592993</v>
      </c>
    </row>
    <row r="67" spans="1:19" ht="18" customHeight="1">
      <c r="A67" s="32">
        <v>3</v>
      </c>
      <c r="B67" s="18">
        <v>5</v>
      </c>
      <c r="C67" s="78">
        <v>-0.28599999999999998</v>
      </c>
      <c r="D67" s="19">
        <v>-8.2000000000000003E-2</v>
      </c>
      <c r="E67" s="22">
        <v>0.25968999999999998</v>
      </c>
      <c r="F67" s="19">
        <v>-0.14000000000000001</v>
      </c>
      <c r="G67" s="26">
        <v>-0.45</v>
      </c>
      <c r="H67" s="26">
        <v>15.74</v>
      </c>
      <c r="I67" s="168">
        <f t="shared" si="7"/>
        <v>1.3434479571797142</v>
      </c>
      <c r="K67" s="116">
        <v>15</v>
      </c>
      <c r="L67" s="117">
        <v>10</v>
      </c>
      <c r="M67" s="118">
        <v>0.91300000000000003</v>
      </c>
      <c r="N67" s="130">
        <v>0.55300000000000005</v>
      </c>
      <c r="O67" s="131">
        <v>1.1431199999999999</v>
      </c>
      <c r="P67" s="130">
        <v>-0.75</v>
      </c>
      <c r="Q67" s="118">
        <v>-1.222</v>
      </c>
      <c r="R67" s="119">
        <v>23.15</v>
      </c>
      <c r="S67" s="5">
        <f>L67*((E$15/O67)-1)</f>
        <v>0.67254531457764832</v>
      </c>
    </row>
    <row r="68" spans="1:19" ht="18" customHeight="1">
      <c r="A68" s="32">
        <v>3</v>
      </c>
      <c r="B68" s="18">
        <v>2</v>
      </c>
      <c r="C68" s="78">
        <v>-0.40899999999999997</v>
      </c>
      <c r="D68" s="19">
        <v>-0.17</v>
      </c>
      <c r="E68" s="22">
        <v>0.206674</v>
      </c>
      <c r="F68" s="19">
        <v>-1.6E-2</v>
      </c>
      <c r="G68" s="26">
        <v>-0.22900000000000001</v>
      </c>
      <c r="H68" s="26">
        <v>15.03</v>
      </c>
      <c r="I68" s="168">
        <f t="shared" si="7"/>
        <v>1.188267513088245</v>
      </c>
      <c r="K68" s="116">
        <v>13</v>
      </c>
      <c r="L68" s="117">
        <v>10</v>
      </c>
      <c r="M68" s="118">
        <v>0.72299999999999998</v>
      </c>
      <c r="N68" s="130">
        <v>0.48599999999999999</v>
      </c>
      <c r="O68" s="131">
        <v>0.93689800000000001</v>
      </c>
      <c r="P68" s="130">
        <v>-0.61199999999999999</v>
      </c>
      <c r="Q68" s="118">
        <v>-1.0980000000000001</v>
      </c>
      <c r="R68" s="119">
        <v>21.74</v>
      </c>
      <c r="S68" s="5">
        <f>L68*((E$22/O68)-1)</f>
        <v>0.78335101579894317</v>
      </c>
    </row>
    <row r="69" spans="1:19" ht="18" customHeight="1" thickBot="1">
      <c r="A69" s="33">
        <v>3</v>
      </c>
      <c r="B69" s="34">
        <v>1</v>
      </c>
      <c r="C69" s="79">
        <v>-0.47199999999999998</v>
      </c>
      <c r="D69" s="38">
        <v>-0.22</v>
      </c>
      <c r="E69" s="36">
        <v>0.158224</v>
      </c>
      <c r="F69" s="38">
        <v>5.1999999999999998E-2</v>
      </c>
      <c r="G69" s="37">
        <v>-9.0999999999999998E-2</v>
      </c>
      <c r="H69" s="37">
        <v>14.51</v>
      </c>
      <c r="I69" s="169">
        <f t="shared" si="7"/>
        <v>1.0822757609465059</v>
      </c>
      <c r="K69" s="116">
        <v>12</v>
      </c>
      <c r="L69" s="117">
        <v>10</v>
      </c>
      <c r="M69" s="118">
        <v>0.70099999999999996</v>
      </c>
      <c r="N69" s="130">
        <v>0.499</v>
      </c>
      <c r="O69" s="131">
        <v>0.84272000000000002</v>
      </c>
      <c r="P69" s="130">
        <v>-0.53</v>
      </c>
      <c r="Q69" s="118">
        <v>-1.0269999999999999</v>
      </c>
      <c r="R69" s="119">
        <v>21.82</v>
      </c>
      <c r="S69" s="5">
        <f>L69*((E$30/O69)-1)</f>
        <v>0.86020267704575604</v>
      </c>
    </row>
    <row r="70" spans="1:19" ht="18" customHeight="1">
      <c r="A70" s="66">
        <v>0</v>
      </c>
      <c r="B70" s="31">
        <v>10000</v>
      </c>
      <c r="C70" s="77">
        <v>0.58799999999999997</v>
      </c>
      <c r="D70" s="67">
        <v>0.35799999999999998</v>
      </c>
      <c r="E70" s="71">
        <v>0.22084500000000001</v>
      </c>
      <c r="F70" s="67">
        <v>-0.48799999999999999</v>
      </c>
      <c r="G70" s="69">
        <v>-1.0009999999999999</v>
      </c>
      <c r="H70" s="69">
        <v>17.05</v>
      </c>
      <c r="I70" s="168"/>
      <c r="K70" s="116">
        <v>9</v>
      </c>
      <c r="L70" s="117">
        <v>10</v>
      </c>
      <c r="M70" s="118">
        <v>0.32800000000000001</v>
      </c>
      <c r="N70" s="130">
        <v>0.25900000000000001</v>
      </c>
      <c r="O70" s="131">
        <v>0.61399999999999999</v>
      </c>
      <c r="P70" s="130">
        <v>-0.5</v>
      </c>
      <c r="Q70" s="118">
        <v>-0.9</v>
      </c>
      <c r="R70" s="119">
        <v>18.920000000000002</v>
      </c>
      <c r="S70" s="5">
        <f>L70*((E$38/O70)-1)</f>
        <v>0.98938110749185793</v>
      </c>
    </row>
    <row r="71" spans="1:19" ht="18" customHeight="1">
      <c r="A71" s="32">
        <v>0</v>
      </c>
      <c r="B71" s="18">
        <v>200</v>
      </c>
      <c r="C71" s="78">
        <v>0.40500000000000003</v>
      </c>
      <c r="D71" s="19">
        <v>0.29499999999999998</v>
      </c>
      <c r="E71" s="22">
        <v>0.218613</v>
      </c>
      <c r="F71" s="19">
        <v>-0.46</v>
      </c>
      <c r="G71" s="26">
        <v>-0.96</v>
      </c>
      <c r="H71" s="26">
        <v>16.96</v>
      </c>
      <c r="I71" s="168">
        <f>B71*((E$70/E71)-1)</f>
        <v>2.0419645675234577</v>
      </c>
      <c r="K71" s="116">
        <v>7</v>
      </c>
      <c r="L71" s="117">
        <v>10</v>
      </c>
      <c r="M71" s="118">
        <v>0.23499999999999999</v>
      </c>
      <c r="N71" s="130">
        <v>0.19500000000000001</v>
      </c>
      <c r="O71" s="131">
        <v>0.48137000000000002</v>
      </c>
      <c r="P71" s="130">
        <v>-0.39800000000000002</v>
      </c>
      <c r="Q71" s="118">
        <v>-0.83899999999999997</v>
      </c>
      <c r="R71" s="119">
        <v>19.77</v>
      </c>
      <c r="S71" s="5">
        <f>L71*((E$46/O71)-1)</f>
        <v>1.128466668051602</v>
      </c>
    </row>
    <row r="72" spans="1:19" ht="18" customHeight="1">
      <c r="A72" s="32">
        <v>0</v>
      </c>
      <c r="B72" s="18">
        <v>50</v>
      </c>
      <c r="C72" s="78">
        <v>8.7999999999999995E-2</v>
      </c>
      <c r="D72" s="19">
        <v>0.16300000000000001</v>
      </c>
      <c r="E72" s="22">
        <v>0.21240999999999999</v>
      </c>
      <c r="F72" s="19">
        <v>-0.39</v>
      </c>
      <c r="G72" s="26">
        <v>-0.85</v>
      </c>
      <c r="H72" s="26">
        <v>16.75</v>
      </c>
      <c r="I72" s="168">
        <f t="shared" ref="I72:I77" si="8">B72*((E$70/E72)-1)</f>
        <v>1.9855468198295756</v>
      </c>
      <c r="K72" s="116">
        <v>6</v>
      </c>
      <c r="L72" s="117">
        <v>10</v>
      </c>
      <c r="M72" s="118">
        <v>6.9000000000000006E-2</v>
      </c>
      <c r="N72" s="130">
        <v>5.5E-2</v>
      </c>
      <c r="O72" s="131">
        <v>0.42846200000000001</v>
      </c>
      <c r="P72" s="130">
        <v>-0.39900000000000002</v>
      </c>
      <c r="Q72" s="118">
        <v>-0.747</v>
      </c>
      <c r="R72" s="119">
        <v>17.34</v>
      </c>
      <c r="S72" s="5">
        <f>L72*((E$54/O72)-1)</f>
        <v>1.1974924263995401</v>
      </c>
    </row>
    <row r="73" spans="1:19" ht="18" customHeight="1">
      <c r="A73" s="32">
        <v>0</v>
      </c>
      <c r="B73" s="18">
        <v>20</v>
      </c>
      <c r="C73" s="78">
        <v>-0.21299999999999999</v>
      </c>
      <c r="D73" s="19">
        <v>3.0000000000000001E-3</v>
      </c>
      <c r="E73" s="22">
        <v>0.20186899999999999</v>
      </c>
      <c r="F73" s="19">
        <v>-0.27700000000000002</v>
      </c>
      <c r="G73" s="26">
        <v>-0.68700000000000006</v>
      </c>
      <c r="H73" s="26">
        <v>16.39</v>
      </c>
      <c r="I73" s="168">
        <f t="shared" si="8"/>
        <v>1.8800311092837463</v>
      </c>
      <c r="K73" s="116">
        <v>3</v>
      </c>
      <c r="L73" s="117">
        <v>10</v>
      </c>
      <c r="M73" s="118">
        <v>-0.154</v>
      </c>
      <c r="N73" s="130">
        <v>0.01</v>
      </c>
      <c r="O73" s="131">
        <v>0.28769800000000001</v>
      </c>
      <c r="P73" s="130">
        <v>-0.23599999999999999</v>
      </c>
      <c r="Q73" s="118">
        <v>-0.626</v>
      </c>
      <c r="R73" s="119">
        <v>16.260000000000002</v>
      </c>
      <c r="S73" s="5">
        <f>L73*((E$62/O73)-1)</f>
        <v>1.4518001515478018</v>
      </c>
    </row>
    <row r="74" spans="1:19" ht="18" customHeight="1">
      <c r="A74" s="32">
        <v>0</v>
      </c>
      <c r="B74" s="18">
        <v>10</v>
      </c>
      <c r="C74" s="78">
        <v>-0.42299999999999999</v>
      </c>
      <c r="D74" s="19">
        <v>-0.122</v>
      </c>
      <c r="E74" s="22">
        <v>0.18812200000000001</v>
      </c>
      <c r="F74" s="19">
        <v>-0.16300000000000001</v>
      </c>
      <c r="G74" s="26">
        <v>-0.503</v>
      </c>
      <c r="H74" s="26">
        <v>15.94</v>
      </c>
      <c r="I74" s="168">
        <f t="shared" si="8"/>
        <v>1.7394563102667426</v>
      </c>
      <c r="K74" s="116">
        <v>0</v>
      </c>
      <c r="L74" s="117">
        <v>10</v>
      </c>
      <c r="M74" s="118">
        <v>-0.42299999999999999</v>
      </c>
      <c r="N74" s="130">
        <v>-0.122</v>
      </c>
      <c r="O74" s="131">
        <v>0.18812200000000001</v>
      </c>
      <c r="P74" s="130">
        <v>-0.16300000000000001</v>
      </c>
      <c r="Q74" s="118">
        <v>-0.503</v>
      </c>
      <c r="R74" s="119">
        <v>15.94</v>
      </c>
      <c r="S74" s="5">
        <f>L74*((E$70/O74)-1)</f>
        <v>1.7394563102667426</v>
      </c>
    </row>
    <row r="75" spans="1:19" ht="18" customHeight="1">
      <c r="A75" s="32">
        <v>0</v>
      </c>
      <c r="B75" s="18">
        <v>5</v>
      </c>
      <c r="C75" s="78">
        <v>-0.59599999999999997</v>
      </c>
      <c r="D75" s="19">
        <v>-0.23699999999999999</v>
      </c>
      <c r="E75" s="22">
        <v>0.16745599999999999</v>
      </c>
      <c r="F75" s="19">
        <v>-0.03</v>
      </c>
      <c r="G75" s="26">
        <v>-0.27900000000000003</v>
      </c>
      <c r="H75" s="26">
        <v>15.34</v>
      </c>
      <c r="I75" s="168">
        <f t="shared" si="8"/>
        <v>1.594120246512517</v>
      </c>
      <c r="K75" s="116">
        <v>-3</v>
      </c>
      <c r="L75" s="117">
        <v>10</v>
      </c>
      <c r="M75" s="118">
        <f>-0.502*1.45</f>
        <v>-0.72789999999999999</v>
      </c>
      <c r="N75" s="130">
        <f>-0.18*1.45</f>
        <v>-0.26100000000000001</v>
      </c>
      <c r="O75" s="131">
        <v>0.121961</v>
      </c>
      <c r="P75" s="130">
        <f>-0.068*1.45</f>
        <v>-9.8600000000000007E-2</v>
      </c>
      <c r="Q75" s="118">
        <f>-0.298*1.45</f>
        <v>-0.43209999999999998</v>
      </c>
      <c r="R75" s="119">
        <v>14.5</v>
      </c>
      <c r="S75" s="5">
        <f>L75*((E$78/O75)-1)</f>
        <v>2.0770574199949166</v>
      </c>
    </row>
    <row r="76" spans="1:19" ht="18" customHeight="1">
      <c r="A76" s="32">
        <v>0</v>
      </c>
      <c r="B76" s="18">
        <v>2</v>
      </c>
      <c r="C76" s="78">
        <v>-0.74399999999999999</v>
      </c>
      <c r="D76" s="19">
        <v>-0.34300000000000003</v>
      </c>
      <c r="E76" s="22">
        <v>0.13053899999999999</v>
      </c>
      <c r="F76" s="19">
        <v>0.121</v>
      </c>
      <c r="G76" s="26">
        <v>-2E-3</v>
      </c>
      <c r="H76" s="26">
        <v>14.39</v>
      </c>
      <c r="I76" s="168">
        <f t="shared" si="8"/>
        <v>1.3835865143750148</v>
      </c>
      <c r="K76" s="116">
        <v>-8</v>
      </c>
      <c r="L76" s="117">
        <v>10</v>
      </c>
      <c r="M76" s="118">
        <v>-1.413</v>
      </c>
      <c r="N76" s="130">
        <v>-0.623</v>
      </c>
      <c r="O76" s="131">
        <v>5.2609099999999999E-2</v>
      </c>
      <c r="P76" s="130">
        <v>-4.1000000000000002E-2</v>
      </c>
      <c r="Q76" s="118">
        <v>-0.499</v>
      </c>
      <c r="R76" s="119">
        <v>13.17</v>
      </c>
      <c r="S76" s="5">
        <f>L76*((E$86/O76)-1)</f>
        <v>3.5024168822504098</v>
      </c>
    </row>
    <row r="77" spans="1:19" ht="18" customHeight="1" thickBot="1">
      <c r="A77" s="33">
        <v>0</v>
      </c>
      <c r="B77" s="34">
        <v>1</v>
      </c>
      <c r="C77" s="79">
        <v>-0.81100000000000005</v>
      </c>
      <c r="D77" s="38">
        <v>-0.39300000000000002</v>
      </c>
      <c r="E77" s="36">
        <v>9.8278000000000004E-2</v>
      </c>
      <c r="F77" s="38">
        <v>0.20100000000000001</v>
      </c>
      <c r="G77" s="37">
        <v>0.16</v>
      </c>
      <c r="H77" s="37">
        <v>13.68</v>
      </c>
      <c r="I77" s="169">
        <f t="shared" si="8"/>
        <v>1.2471458515639311</v>
      </c>
      <c r="K77" s="116">
        <v>-12</v>
      </c>
      <c r="L77" s="117">
        <v>10</v>
      </c>
      <c r="M77" s="118">
        <v>-2.1779999999999999</v>
      </c>
      <c r="N77" s="130">
        <v>-0.79500000000000004</v>
      </c>
      <c r="O77" s="131">
        <v>2.7872999999999998E-2</v>
      </c>
      <c r="P77" s="130">
        <v>-0.16200000000000001</v>
      </c>
      <c r="Q77" s="118">
        <v>-0.46200000000000002</v>
      </c>
      <c r="R77" s="119">
        <v>12.55</v>
      </c>
      <c r="S77" s="5">
        <f>L77*((E$94/O77)-1)</f>
        <v>3.0847056291034347</v>
      </c>
    </row>
    <row r="78" spans="1:19" ht="18" customHeight="1">
      <c r="A78" s="72">
        <v>-3</v>
      </c>
      <c r="B78" s="31">
        <v>10000</v>
      </c>
      <c r="C78" s="77">
        <f>0.409*1.55</f>
        <v>0.63395000000000001</v>
      </c>
      <c r="D78" s="67">
        <f>0.225*1.55</f>
        <v>0.34875</v>
      </c>
      <c r="E78" s="71">
        <v>0.14729300000000001</v>
      </c>
      <c r="F78" s="67">
        <f>-0.317*1.55</f>
        <v>-0.49135000000000001</v>
      </c>
      <c r="G78" s="69">
        <f>-0.659*1.55</f>
        <v>-1.02145</v>
      </c>
      <c r="H78" s="69">
        <v>15.5</v>
      </c>
      <c r="I78" s="168"/>
      <c r="K78" s="116">
        <v>-17</v>
      </c>
      <c r="L78" s="117">
        <v>10</v>
      </c>
      <c r="M78" s="118">
        <v>-3.2890000000000001</v>
      </c>
      <c r="N78" s="130">
        <v>-1.0289999999999999</v>
      </c>
      <c r="O78" s="131">
        <v>1.1139E-2</v>
      </c>
      <c r="P78" s="130">
        <v>-0.13300000000000001</v>
      </c>
      <c r="Q78" s="118">
        <v>-0.44900000000000001</v>
      </c>
      <c r="R78" s="119">
        <v>13.45</v>
      </c>
      <c r="S78" s="5">
        <f>L78*((E$102/O78)-1)</f>
        <v>3.4213125056109162</v>
      </c>
    </row>
    <row r="79" spans="1:19" ht="18" customHeight="1">
      <c r="A79" s="32">
        <v>-3</v>
      </c>
      <c r="B79" s="18">
        <v>200</v>
      </c>
      <c r="C79" s="78">
        <f>0.254*1.54</f>
        <v>0.39116000000000001</v>
      </c>
      <c r="D79" s="19">
        <f>0.177*1.54</f>
        <v>0.27257999999999999</v>
      </c>
      <c r="E79" s="22">
        <v>0.14549200000000001</v>
      </c>
      <c r="F79" s="19">
        <f>-0.296*1.54</f>
        <v>-0.45583999999999997</v>
      </c>
      <c r="G79" s="26">
        <f>-0.631*1.54</f>
        <v>-0.97174000000000005</v>
      </c>
      <c r="H79" s="26">
        <v>15.4</v>
      </c>
      <c r="I79" s="168">
        <f>B79*((E$78/E79)-1)</f>
        <v>2.4757374975943769</v>
      </c>
      <c r="K79" s="116">
        <v>-20</v>
      </c>
      <c r="L79" s="117">
        <v>10</v>
      </c>
      <c r="M79" s="118">
        <v>-2.9580000000000002</v>
      </c>
      <c r="N79" s="130">
        <v>-0.91300000000000003</v>
      </c>
      <c r="O79" s="131">
        <v>6.6639999999999998E-3</v>
      </c>
      <c r="P79" s="130">
        <v>-0.16</v>
      </c>
      <c r="Q79" s="118">
        <v>7.8E-2</v>
      </c>
      <c r="R79" s="119">
        <v>12.06</v>
      </c>
      <c r="S79" s="5">
        <f>L79*((E$110/O79)-1)</f>
        <v>3.5309123649459795</v>
      </c>
    </row>
    <row r="80" spans="1:19" ht="27.75" customHeight="1">
      <c r="A80" s="32">
        <v>-3</v>
      </c>
      <c r="B80" s="18">
        <v>50</v>
      </c>
      <c r="C80" s="78">
        <f>-0.023*1.525</f>
        <v>-3.5074999999999995E-2</v>
      </c>
      <c r="D80" s="19">
        <f>0.068*1.525</f>
        <v>0.1037</v>
      </c>
      <c r="E80" s="22">
        <v>0.14063500000000001</v>
      </c>
      <c r="F80" s="19">
        <f>-0.244*1.525</f>
        <v>-0.37209999999999999</v>
      </c>
      <c r="G80" s="26">
        <f>-0.558*1.525</f>
        <v>-0.85094999999999998</v>
      </c>
      <c r="H80" s="26">
        <v>15.25</v>
      </c>
      <c r="I80" s="168">
        <f t="shared" ref="I80:I85" si="9">B80*((E$78/E80)-1)</f>
        <v>2.3671205603157053</v>
      </c>
      <c r="K80" s="121"/>
      <c r="L80" s="117"/>
      <c r="M80" s="122"/>
      <c r="N80" s="132"/>
      <c r="O80" s="133"/>
      <c r="P80" s="132"/>
      <c r="Q80" s="122"/>
      <c r="R80" s="123"/>
      <c r="S80" s="2" t="s">
        <v>25</v>
      </c>
    </row>
    <row r="81" spans="1:19" ht="15.75" customHeight="1">
      <c r="A81" s="32">
        <v>-3</v>
      </c>
      <c r="B81" s="18">
        <v>20</v>
      </c>
      <c r="C81" s="78">
        <f>-0.294*1.49</f>
        <v>-0.43805999999999995</v>
      </c>
      <c r="D81" s="19">
        <f>-0.064*1.49</f>
        <v>-9.536E-2</v>
      </c>
      <c r="E81" s="22">
        <v>0.13244900000000001</v>
      </c>
      <c r="F81" s="19">
        <f>-0.161*1.49</f>
        <v>-0.23988999999999999</v>
      </c>
      <c r="G81" s="26">
        <f>-0.44*1.49</f>
        <v>-0.65559999999999996</v>
      </c>
      <c r="H81" s="26">
        <v>14.9</v>
      </c>
      <c r="I81" s="168">
        <f t="shared" si="9"/>
        <v>2.2414665267385914</v>
      </c>
      <c r="K81" s="116">
        <v>18</v>
      </c>
      <c r="L81" s="117">
        <v>5</v>
      </c>
      <c r="M81" s="118">
        <v>1.0109999999999999</v>
      </c>
      <c r="N81" s="130">
        <v>0.623</v>
      </c>
      <c r="O81" s="134">
        <v>1.4204000000000001</v>
      </c>
      <c r="P81" s="130">
        <v>-0.7</v>
      </c>
      <c r="Q81" s="118">
        <v>-1.68</v>
      </c>
      <c r="R81" s="119">
        <v>24.69</v>
      </c>
      <c r="S81" s="5">
        <f>L81*((E$6/O81)-1)</f>
        <v>0.60546324978879129</v>
      </c>
    </row>
    <row r="82" spans="1:19" ht="18" customHeight="1">
      <c r="A82" s="32">
        <v>-3</v>
      </c>
      <c r="B82" s="18">
        <v>10</v>
      </c>
      <c r="C82" s="78">
        <f>-0.502*1.45</f>
        <v>-0.72789999999999999</v>
      </c>
      <c r="D82" s="19">
        <f>-0.18*1.45</f>
        <v>-0.26100000000000001</v>
      </c>
      <c r="E82" s="22">
        <v>0.121961</v>
      </c>
      <c r="F82" s="19">
        <f>-0.068*1.45</f>
        <v>-9.8600000000000007E-2</v>
      </c>
      <c r="G82" s="26">
        <f>-0.298*1.45</f>
        <v>-0.43209999999999998</v>
      </c>
      <c r="H82" s="26">
        <v>14.5</v>
      </c>
      <c r="I82" s="168">
        <f t="shared" si="9"/>
        <v>2.0770574199949166</v>
      </c>
      <c r="K82" s="116">
        <v>15</v>
      </c>
      <c r="L82" s="117">
        <v>5</v>
      </c>
      <c r="M82" s="118">
        <v>0.78100000000000003</v>
      </c>
      <c r="N82" s="130">
        <v>0.498</v>
      </c>
      <c r="O82" s="134">
        <v>1.0737399999999999</v>
      </c>
      <c r="P82" s="130">
        <v>-0.69899999999999995</v>
      </c>
      <c r="Q82" s="118">
        <v>-1.137</v>
      </c>
      <c r="R82" s="119">
        <v>22.46</v>
      </c>
      <c r="S82" s="5">
        <f>L82*((E$15/O82)-1)</f>
        <v>0.68107735578445516</v>
      </c>
    </row>
    <row r="83" spans="1:19" ht="18" customHeight="1">
      <c r="A83" s="32">
        <v>-3</v>
      </c>
      <c r="B83" s="18">
        <v>5</v>
      </c>
      <c r="C83" s="78">
        <f>-0.697*1.39</f>
        <v>-0.96882999999999986</v>
      </c>
      <c r="D83" s="19">
        <f>-0.297*1.39</f>
        <v>-0.41282999999999997</v>
      </c>
      <c r="E83" s="22">
        <v>0.106735</v>
      </c>
      <c r="F83" s="19">
        <f>0.045*1.39</f>
        <v>6.2549999999999994E-2</v>
      </c>
      <c r="G83" s="26">
        <f>-0.119*1.39</f>
        <v>-0.16540999999999997</v>
      </c>
      <c r="H83" s="26">
        <v>13.9</v>
      </c>
      <c r="I83" s="168">
        <f t="shared" si="9"/>
        <v>1.899939101513094</v>
      </c>
      <c r="K83" s="116">
        <v>13</v>
      </c>
      <c r="L83" s="117">
        <v>5</v>
      </c>
      <c r="M83" s="118">
        <v>0.60799999999999998</v>
      </c>
      <c r="N83" s="130">
        <v>0.42299999999999999</v>
      </c>
      <c r="O83" s="134">
        <v>0.87464900000000001</v>
      </c>
      <c r="P83" s="130">
        <v>-0.55100000000000005</v>
      </c>
      <c r="Q83" s="118">
        <v>-0.995</v>
      </c>
      <c r="R83" s="119">
        <v>21.24</v>
      </c>
      <c r="S83" s="5">
        <f>L83*((E$22/O83)-1)</f>
        <v>0.77540247573598009</v>
      </c>
    </row>
    <row r="84" spans="1:19" ht="18" customHeight="1">
      <c r="A84" s="32">
        <v>-3</v>
      </c>
      <c r="B84" s="18">
        <v>2</v>
      </c>
      <c r="C84" s="78">
        <f>-0.91*1.29</f>
        <v>-1.1739000000000002</v>
      </c>
      <c r="D84" s="19">
        <f>-0.428*1.29</f>
        <v>-0.55212000000000006</v>
      </c>
      <c r="E84" s="22">
        <v>8.0769999999999995E-2</v>
      </c>
      <c r="F84" s="19">
        <f>0.193*1.29</f>
        <v>0.24897000000000002</v>
      </c>
      <c r="G84" s="26">
        <f>0.133*1.29</f>
        <v>0.17157</v>
      </c>
      <c r="H84" s="26">
        <v>12.9</v>
      </c>
      <c r="I84" s="168">
        <f t="shared" si="9"/>
        <v>1.64722050266188</v>
      </c>
      <c r="K84" s="116">
        <v>12</v>
      </c>
      <c r="L84" s="117">
        <v>5</v>
      </c>
      <c r="M84" s="118">
        <v>0.55800000000000005</v>
      </c>
      <c r="N84" s="130">
        <v>0.41199999999999998</v>
      </c>
      <c r="O84" s="134">
        <v>0.78478999999999999</v>
      </c>
      <c r="P84" s="130">
        <v>-0.46</v>
      </c>
      <c r="Q84" s="118">
        <v>-0.91200000000000003</v>
      </c>
      <c r="R84" s="119">
        <v>21.15</v>
      </c>
      <c r="S84" s="5">
        <f>L84*((E$30/O84)-1)</f>
        <v>0.83092929318671294</v>
      </c>
    </row>
    <row r="85" spans="1:19" ht="18" customHeight="1" thickBot="1">
      <c r="A85" s="33">
        <v>-3</v>
      </c>
      <c r="B85" s="34">
        <v>1</v>
      </c>
      <c r="C85" s="79">
        <f>-1.043*1.22</f>
        <v>-1.2724599999999999</v>
      </c>
      <c r="D85" s="38">
        <f>-0.507*1.22</f>
        <v>-0.61853999999999998</v>
      </c>
      <c r="E85" s="36">
        <v>5.9318999999999997E-2</v>
      </c>
      <c r="F85" s="38">
        <f>0.286*1.22</f>
        <v>0.34891999999999995</v>
      </c>
      <c r="G85" s="37">
        <f>0.301*1.22</f>
        <v>0.36721999999999999</v>
      </c>
      <c r="H85" s="37">
        <v>12.2</v>
      </c>
      <c r="I85" s="169">
        <f t="shared" si="9"/>
        <v>1.4830661339537081</v>
      </c>
      <c r="K85" s="116">
        <v>9</v>
      </c>
      <c r="L85" s="117">
        <v>5</v>
      </c>
      <c r="M85" s="118">
        <v>0.19800000000000001</v>
      </c>
      <c r="N85" s="130">
        <v>0.185</v>
      </c>
      <c r="O85" s="134">
        <v>0.56611299999999998</v>
      </c>
      <c r="P85" s="130">
        <v>-0.42799999999999999</v>
      </c>
      <c r="Q85" s="118">
        <v>-0.77100000000000002</v>
      </c>
      <c r="R85" s="119">
        <v>18.420000000000002</v>
      </c>
      <c r="S85" s="5">
        <f>L85*((E$38/O85)-1)</f>
        <v>0.95948158759823654</v>
      </c>
    </row>
    <row r="86" spans="1:19" ht="18" customHeight="1">
      <c r="A86" s="66">
        <v>-8</v>
      </c>
      <c r="B86" s="31">
        <v>10000</v>
      </c>
      <c r="C86" s="77">
        <v>0.73</v>
      </c>
      <c r="D86" s="67">
        <v>0.36</v>
      </c>
      <c r="E86" s="71">
        <v>7.1035000000000001E-2</v>
      </c>
      <c r="F86" s="67">
        <v>-0.55700000000000005</v>
      </c>
      <c r="G86" s="69">
        <v>-1.25</v>
      </c>
      <c r="H86" s="69">
        <v>13.82</v>
      </c>
      <c r="I86" s="168"/>
      <c r="K86" s="116">
        <v>7</v>
      </c>
      <c r="L86" s="117">
        <v>5</v>
      </c>
      <c r="M86" s="118">
        <v>9.6000000000000002E-2</v>
      </c>
      <c r="N86" s="130">
        <v>0.104</v>
      </c>
      <c r="O86" s="135">
        <v>0.44091000000000002</v>
      </c>
      <c r="P86" s="130">
        <v>-0.31</v>
      </c>
      <c r="Q86" s="118">
        <v>-0.69</v>
      </c>
      <c r="R86" s="119">
        <v>19.21</v>
      </c>
      <c r="S86" s="5">
        <f>L86*((E$46/O86)-1)</f>
        <v>1.0748338663219248</v>
      </c>
    </row>
    <row r="87" spans="1:19" ht="18" customHeight="1">
      <c r="A87" s="32">
        <v>-8</v>
      </c>
      <c r="B87" s="18">
        <v>200</v>
      </c>
      <c r="C87" s="78">
        <v>0.40600000000000003</v>
      </c>
      <c r="D87" s="19">
        <v>0.25</v>
      </c>
      <c r="E87" s="22">
        <v>6.9979E-2</v>
      </c>
      <c r="F87" s="19">
        <v>-0.52</v>
      </c>
      <c r="G87" s="26">
        <v>-1.194</v>
      </c>
      <c r="H87" s="26">
        <v>13.78</v>
      </c>
      <c r="I87" s="168">
        <f>B87*((E$86/E87)-1)</f>
        <v>3.0180482716243517</v>
      </c>
      <c r="K87" s="116">
        <v>6</v>
      </c>
      <c r="L87" s="117">
        <v>5</v>
      </c>
      <c r="M87" s="118">
        <v>-5.2999999999999999E-2</v>
      </c>
      <c r="N87" s="130">
        <v>-2.5999999999999999E-2</v>
      </c>
      <c r="O87" s="135">
        <v>0.39111000000000001</v>
      </c>
      <c r="P87" s="130">
        <v>-0.315</v>
      </c>
      <c r="Q87" s="118">
        <v>-0.60299999999999998</v>
      </c>
      <c r="R87" s="119">
        <v>16.87</v>
      </c>
      <c r="S87" s="5">
        <f>L87*((E$54/O87)-1)</f>
        <v>1.1334407200020447</v>
      </c>
    </row>
    <row r="88" spans="1:19" ht="18" customHeight="1">
      <c r="A88" s="32">
        <v>-8</v>
      </c>
      <c r="B88" s="18">
        <v>50</v>
      </c>
      <c r="C88" s="78">
        <v>-0.217</v>
      </c>
      <c r="D88" s="19">
        <v>-4.0000000000000001E-3</v>
      </c>
      <c r="E88" s="22">
        <v>6.7093E-2</v>
      </c>
      <c r="F88" s="19">
        <v>-0.40899999999999997</v>
      </c>
      <c r="G88" s="26">
        <v>-1.0449999999999999</v>
      </c>
      <c r="H88" s="26">
        <v>13.68</v>
      </c>
      <c r="I88" s="168">
        <f t="shared" ref="I88:I93" si="10">B88*((E$86/E88)-1)</f>
        <v>2.9377133232975083</v>
      </c>
      <c r="K88" s="116">
        <v>3</v>
      </c>
      <c r="L88" s="117">
        <v>5</v>
      </c>
      <c r="M88" s="118">
        <v>-0.28599999999999998</v>
      </c>
      <c r="N88" s="130">
        <v>-8.2000000000000003E-2</v>
      </c>
      <c r="O88" s="135">
        <v>0.25968999999999998</v>
      </c>
      <c r="P88" s="130">
        <v>-0.14000000000000001</v>
      </c>
      <c r="Q88" s="118">
        <v>-0.45</v>
      </c>
      <c r="R88" s="119">
        <v>15.74</v>
      </c>
      <c r="S88" s="5">
        <f>L88*((E$62/O88)-1)</f>
        <v>1.3434479571797142</v>
      </c>
    </row>
    <row r="89" spans="1:19" ht="18" customHeight="1">
      <c r="A89" s="32">
        <v>-8</v>
      </c>
      <c r="B89" s="18">
        <v>20</v>
      </c>
      <c r="C89" s="78">
        <v>-0.875</v>
      </c>
      <c r="D89" s="19">
        <v>-0.32700000000000001</v>
      </c>
      <c r="E89" s="22">
        <v>6.2236E-2</v>
      </c>
      <c r="F89" s="19">
        <v>-0.23899999999999999</v>
      </c>
      <c r="G89" s="26">
        <v>-0.79800000000000004</v>
      </c>
      <c r="H89" s="26">
        <v>13.48</v>
      </c>
      <c r="I89" s="168">
        <f t="shared" si="10"/>
        <v>2.8276238832829881</v>
      </c>
      <c r="K89" s="116">
        <v>0</v>
      </c>
      <c r="L89" s="117">
        <v>5</v>
      </c>
      <c r="M89" s="118">
        <v>-0.59599999999999997</v>
      </c>
      <c r="N89" s="130">
        <v>-0.23699999999999999</v>
      </c>
      <c r="O89" s="135">
        <v>0.16745599999999999</v>
      </c>
      <c r="P89" s="130">
        <v>-0.03</v>
      </c>
      <c r="Q89" s="118">
        <v>-0.27900000000000003</v>
      </c>
      <c r="R89" s="119">
        <v>15.34</v>
      </c>
      <c r="S89" s="5">
        <f>L89*((E$70/O89)-1)</f>
        <v>1.594120246512517</v>
      </c>
    </row>
    <row r="90" spans="1:19" ht="18" customHeight="1">
      <c r="A90" s="32">
        <v>-8</v>
      </c>
      <c r="B90" s="18">
        <v>10</v>
      </c>
      <c r="C90" s="78">
        <v>-1.413</v>
      </c>
      <c r="D90" s="19">
        <v>-0.623</v>
      </c>
      <c r="E90" s="22">
        <v>5.2609099999999999E-2</v>
      </c>
      <c r="F90" s="19">
        <v>-4.1000000000000002E-2</v>
      </c>
      <c r="G90" s="26">
        <v>-0.499</v>
      </c>
      <c r="H90" s="26">
        <v>13.17</v>
      </c>
      <c r="I90" s="168">
        <f t="shared" si="10"/>
        <v>3.5024168822504098</v>
      </c>
      <c r="K90" s="116">
        <v>-3</v>
      </c>
      <c r="L90" s="117">
        <v>5</v>
      </c>
      <c r="M90" s="118">
        <f>-0.697*1.39</f>
        <v>-0.96882999999999986</v>
      </c>
      <c r="N90" s="130">
        <f>-0.297*1.39</f>
        <v>-0.41282999999999997</v>
      </c>
      <c r="O90" s="135">
        <v>0.106735</v>
      </c>
      <c r="P90" s="130">
        <f>0.045*1.39</f>
        <v>6.2549999999999994E-2</v>
      </c>
      <c r="Q90" s="118">
        <f>-0.119*1.39</f>
        <v>-0.16540999999999997</v>
      </c>
      <c r="R90" s="119">
        <v>13.9</v>
      </c>
      <c r="S90" s="5">
        <f>L90*((E$78/O90)-1)</f>
        <v>1.899939101513094</v>
      </c>
    </row>
    <row r="91" spans="1:19" ht="18" customHeight="1">
      <c r="A91" s="32">
        <v>-8</v>
      </c>
      <c r="B91" s="18">
        <v>5</v>
      </c>
      <c r="C91" s="78">
        <v>-1.92</v>
      </c>
      <c r="D91" s="19">
        <v>-0.92300000000000004</v>
      </c>
      <c r="E91" s="22">
        <v>4.7433000000000003E-2</v>
      </c>
      <c r="F91" s="19">
        <v>0.19800000000000001</v>
      </c>
      <c r="G91" s="26">
        <v>-0.113</v>
      </c>
      <c r="H91" s="26">
        <v>12.66</v>
      </c>
      <c r="I91" s="168">
        <f t="shared" si="10"/>
        <v>2.487930343853435</v>
      </c>
      <c r="K91" s="116">
        <v>-8</v>
      </c>
      <c r="L91" s="117">
        <v>5</v>
      </c>
      <c r="M91" s="118">
        <v>-1.92</v>
      </c>
      <c r="N91" s="130">
        <v>-0.92300000000000004</v>
      </c>
      <c r="O91" s="135">
        <v>4.7433000000000003E-2</v>
      </c>
      <c r="P91" s="130">
        <v>0.19800000000000001</v>
      </c>
      <c r="Q91" s="118">
        <v>-0.113</v>
      </c>
      <c r="R91" s="119">
        <v>12.66</v>
      </c>
      <c r="S91" s="5">
        <f>L91*((E$86/O91)-1)</f>
        <v>2.487930343853435</v>
      </c>
    </row>
    <row r="92" spans="1:19" ht="18" customHeight="1">
      <c r="A92" s="32">
        <v>-8</v>
      </c>
      <c r="B92" s="18">
        <v>2</v>
      </c>
      <c r="C92" s="78">
        <v>-2.4289999999999998</v>
      </c>
      <c r="D92" s="19">
        <v>-1.236</v>
      </c>
      <c r="E92" s="22">
        <v>3.3654999999999997E-2</v>
      </c>
      <c r="F92" s="19">
        <v>0.501</v>
      </c>
      <c r="G92" s="26">
        <v>0.40699999999999997</v>
      </c>
      <c r="H92" s="26">
        <v>11.74</v>
      </c>
      <c r="I92" s="168">
        <f t="shared" si="10"/>
        <v>2.2213638389540931</v>
      </c>
      <c r="K92" s="116">
        <v>-12</v>
      </c>
      <c r="L92" s="117">
        <v>5</v>
      </c>
      <c r="M92" s="118">
        <v>-3.048</v>
      </c>
      <c r="N92" s="130">
        <v>-1.26</v>
      </c>
      <c r="O92" s="135">
        <v>2.2915000000000001E-2</v>
      </c>
      <c r="P92" s="130">
        <v>0.16300000000000001</v>
      </c>
      <c r="Q92" s="118">
        <v>2.5999999999999999E-2</v>
      </c>
      <c r="R92" s="119">
        <v>12.21</v>
      </c>
      <c r="S92" s="5">
        <f>L92*((E$94/O92)-1)</f>
        <v>2.9578878463888278</v>
      </c>
    </row>
    <row r="93" spans="1:19" ht="18" customHeight="1" thickBot="1">
      <c r="A93" s="33">
        <v>-8</v>
      </c>
      <c r="B93" s="34">
        <v>1</v>
      </c>
      <c r="C93" s="79">
        <v>-2.6749999999999998</v>
      </c>
      <c r="D93" s="38">
        <v>-1.3919999999999999</v>
      </c>
      <c r="E93" s="36">
        <v>2.3347E-2</v>
      </c>
      <c r="F93" s="38">
        <v>0.67400000000000004</v>
      </c>
      <c r="G93" s="37">
        <v>0.72899999999999998</v>
      </c>
      <c r="H93" s="37">
        <v>11.02</v>
      </c>
      <c r="I93" s="169">
        <f t="shared" si="10"/>
        <v>2.0425750631772819</v>
      </c>
      <c r="K93" s="116">
        <v>-17</v>
      </c>
      <c r="L93" s="117">
        <v>5</v>
      </c>
      <c r="M93" s="118">
        <v>-4.6719999999999997</v>
      </c>
      <c r="N93" s="130">
        <v>-1.714</v>
      </c>
      <c r="O93" s="135">
        <v>8.9269999999999992E-3</v>
      </c>
      <c r="P93" s="130">
        <v>0.314</v>
      </c>
      <c r="Q93" s="118">
        <v>0.20300000000000001</v>
      </c>
      <c r="R93" s="119">
        <v>13.23</v>
      </c>
      <c r="S93" s="5">
        <f>L93*((E$102/O93)-1)</f>
        <v>3.3734737313767225</v>
      </c>
    </row>
    <row r="94" spans="1:19" ht="18" customHeight="1">
      <c r="A94" s="66">
        <v>-12</v>
      </c>
      <c r="B94" s="31">
        <v>10000</v>
      </c>
      <c r="C94" s="77">
        <v>0.73899999999999999</v>
      </c>
      <c r="D94" s="67">
        <v>0.47699999999999998</v>
      </c>
      <c r="E94" s="71">
        <v>3.6471000000000003E-2</v>
      </c>
      <c r="F94" s="67">
        <v>-0.76200000000000001</v>
      </c>
      <c r="G94" s="69">
        <v>-1.3129999999999999</v>
      </c>
      <c r="H94" s="69">
        <v>12.91</v>
      </c>
      <c r="I94" s="168"/>
      <c r="K94" s="116">
        <v>-20</v>
      </c>
      <c r="L94" s="117">
        <v>5</v>
      </c>
      <c r="M94" s="118">
        <v>-4.2889999999999997</v>
      </c>
      <c r="N94" s="130">
        <v>-1.579</v>
      </c>
      <c r="O94" s="135">
        <v>5.2960000000000004E-3</v>
      </c>
      <c r="P94" s="130">
        <v>0.27900000000000003</v>
      </c>
      <c r="Q94" s="118">
        <v>0.71</v>
      </c>
      <c r="R94" s="119">
        <v>11.96</v>
      </c>
      <c r="S94" s="5">
        <f>L94*((E$110/O94)-1)</f>
        <v>3.5130287009063443</v>
      </c>
    </row>
    <row r="95" spans="1:19" ht="27" customHeight="1">
      <c r="A95" s="32">
        <v>-12</v>
      </c>
      <c r="B95" s="18">
        <v>200</v>
      </c>
      <c r="C95" s="78">
        <v>0.36899999999999999</v>
      </c>
      <c r="D95" s="19">
        <v>0.35499999999999998</v>
      </c>
      <c r="E95" s="22">
        <v>3.5867999999999997E-2</v>
      </c>
      <c r="F95" s="19">
        <v>-0.71799999999999997</v>
      </c>
      <c r="G95" s="26">
        <v>-1.254</v>
      </c>
      <c r="H95" s="26">
        <v>12.91</v>
      </c>
      <c r="I95" s="168">
        <f>B95*((E$94/E95)-1)</f>
        <v>3.3623285379726031</v>
      </c>
      <c r="K95" s="121"/>
      <c r="L95" s="117"/>
      <c r="M95" s="122"/>
      <c r="N95" s="132"/>
      <c r="O95" s="133"/>
      <c r="P95" s="132"/>
      <c r="Q95" s="122"/>
      <c r="R95" s="123"/>
      <c r="S95" s="1" t="s">
        <v>26</v>
      </c>
    </row>
    <row r="96" spans="1:19" ht="17.25" customHeight="1">
      <c r="A96" s="32">
        <v>-12</v>
      </c>
      <c r="B96" s="18">
        <v>50</v>
      </c>
      <c r="C96" s="78">
        <v>-0.41299999999999998</v>
      </c>
      <c r="D96" s="19">
        <v>4.7E-2</v>
      </c>
      <c r="E96" s="22">
        <v>3.4217999999999998E-2</v>
      </c>
      <c r="F96" s="19">
        <v>-0.60199999999999998</v>
      </c>
      <c r="G96" s="26">
        <v>-1.0920000000000001</v>
      </c>
      <c r="H96" s="26">
        <v>12.85</v>
      </c>
      <c r="I96" s="168">
        <f t="shared" ref="I96:I101" si="11">B96*((E$94/E96)-1)</f>
        <v>3.2921269507276918</v>
      </c>
      <c r="K96" s="116">
        <v>18</v>
      </c>
      <c r="L96" s="117">
        <v>2</v>
      </c>
      <c r="M96" s="118">
        <v>0.85299999999999998</v>
      </c>
      <c r="N96" s="130">
        <v>0.53300000000000003</v>
      </c>
      <c r="O96" s="131">
        <v>1.2246999999999999</v>
      </c>
      <c r="P96" s="130">
        <v>-0.62</v>
      </c>
      <c r="Q96" s="118">
        <v>-1.54</v>
      </c>
      <c r="R96" s="119">
        <v>23.45</v>
      </c>
      <c r="S96" s="5">
        <f>L96*((E$6/O96)-1)</f>
        <v>0.60047358536784534</v>
      </c>
    </row>
    <row r="97" spans="1:19" ht="18" customHeight="1">
      <c r="A97" s="32">
        <v>-12</v>
      </c>
      <c r="B97" s="18">
        <v>20</v>
      </c>
      <c r="C97" s="78">
        <v>-1.335</v>
      </c>
      <c r="D97" s="19">
        <v>-0.374</v>
      </c>
      <c r="E97" s="22">
        <v>3.1423E-2</v>
      </c>
      <c r="F97" s="19">
        <v>-0.40600000000000003</v>
      </c>
      <c r="G97" s="26">
        <v>-0.81299999999999994</v>
      </c>
      <c r="H97" s="26">
        <v>12.74</v>
      </c>
      <c r="I97" s="168">
        <f t="shared" si="11"/>
        <v>3.2129332017948675</v>
      </c>
      <c r="K97" s="116">
        <v>15</v>
      </c>
      <c r="L97" s="117">
        <v>2</v>
      </c>
      <c r="M97" s="118">
        <v>0.56999999999999995</v>
      </c>
      <c r="N97" s="130">
        <v>0.38600000000000001</v>
      </c>
      <c r="O97" s="131">
        <v>0.91220000000000001</v>
      </c>
      <c r="P97" s="130">
        <v>-0.60099999999999998</v>
      </c>
      <c r="Q97" s="118">
        <v>-0.95499999999999996</v>
      </c>
      <c r="R97" s="119">
        <v>21.25</v>
      </c>
      <c r="S97" s="5">
        <f>L97*((E$15/O97)-1)</f>
        <v>0.67485200613900442</v>
      </c>
    </row>
    <row r="98" spans="1:19" ht="18" customHeight="1">
      <c r="A98" s="32">
        <v>-12</v>
      </c>
      <c r="B98" s="18">
        <v>10</v>
      </c>
      <c r="C98" s="78">
        <v>-2.1779999999999999</v>
      </c>
      <c r="D98" s="19">
        <v>-0.79500000000000004</v>
      </c>
      <c r="E98" s="22">
        <v>2.7872999999999998E-2</v>
      </c>
      <c r="F98" s="19">
        <v>-0.16200000000000001</v>
      </c>
      <c r="G98" s="26">
        <v>-0.46200000000000002</v>
      </c>
      <c r="H98" s="26">
        <v>12.55</v>
      </c>
      <c r="I98" s="168">
        <f t="shared" si="11"/>
        <v>3.0847056291034347</v>
      </c>
      <c r="K98" s="116">
        <v>13</v>
      </c>
      <c r="L98" s="117">
        <v>2</v>
      </c>
      <c r="M98" s="118">
        <v>0.41</v>
      </c>
      <c r="N98" s="130">
        <v>0.313</v>
      </c>
      <c r="O98" s="131">
        <v>0.73448999999999998</v>
      </c>
      <c r="P98" s="130">
        <v>-0.44</v>
      </c>
      <c r="Q98" s="118">
        <v>-0.80600000000000005</v>
      </c>
      <c r="R98" s="119">
        <v>20.309999999999999</v>
      </c>
      <c r="S98" s="5">
        <f>L98*((E$22/O98)-1)</f>
        <v>0.75099729063704057</v>
      </c>
    </row>
    <row r="99" spans="1:19" ht="18" customHeight="1">
      <c r="A99" s="32">
        <v>-12</v>
      </c>
      <c r="B99" s="18">
        <v>5</v>
      </c>
      <c r="C99" s="78">
        <v>-3.048</v>
      </c>
      <c r="D99" s="19">
        <v>-1.26</v>
      </c>
      <c r="E99" s="22">
        <v>2.2915000000000001E-2</v>
      </c>
      <c r="F99" s="19">
        <v>0.16300000000000001</v>
      </c>
      <c r="G99" s="26">
        <v>2.5999999999999999E-2</v>
      </c>
      <c r="H99" s="26">
        <v>12.21</v>
      </c>
      <c r="I99" s="168">
        <f t="shared" si="11"/>
        <v>2.9578878463888278</v>
      </c>
      <c r="K99" s="116">
        <v>12</v>
      </c>
      <c r="L99" s="117">
        <v>2</v>
      </c>
      <c r="M99" s="118">
        <v>0.35199999999999998</v>
      </c>
      <c r="N99" s="130">
        <v>0.29699999999999999</v>
      </c>
      <c r="O99" s="131">
        <v>0.65577200000000002</v>
      </c>
      <c r="P99" s="130">
        <v>-0.34899999999999998</v>
      </c>
      <c r="Q99" s="118">
        <v>-0.71499999999999997</v>
      </c>
      <c r="R99" s="119">
        <v>20.16</v>
      </c>
      <c r="S99" s="5">
        <f>L99*((E$30/O99)-1)</f>
        <v>0.79124756775220639</v>
      </c>
    </row>
    <row r="100" spans="1:19" ht="18" customHeight="1">
      <c r="A100" s="32">
        <v>-12</v>
      </c>
      <c r="B100" s="18">
        <v>2</v>
      </c>
      <c r="C100" s="78">
        <v>-3.9950000000000001</v>
      </c>
      <c r="D100" s="19">
        <v>-1.798</v>
      </c>
      <c r="E100" s="22">
        <v>1.5363E-2</v>
      </c>
      <c r="F100" s="19">
        <v>0.61299999999999999</v>
      </c>
      <c r="G100" s="26">
        <v>0.751</v>
      </c>
      <c r="H100" s="26">
        <v>11.59</v>
      </c>
      <c r="I100" s="168">
        <f t="shared" si="11"/>
        <v>2.7479008006248788</v>
      </c>
      <c r="K100" s="116">
        <v>9</v>
      </c>
      <c r="L100" s="117">
        <v>2</v>
      </c>
      <c r="M100" s="118">
        <v>4.4999999999999998E-2</v>
      </c>
      <c r="N100" s="130">
        <v>9.4E-2</v>
      </c>
      <c r="O100" s="131">
        <v>0.46550999999999998</v>
      </c>
      <c r="P100" s="130">
        <v>-0.313</v>
      </c>
      <c r="Q100" s="118">
        <v>-0.57199999999999995</v>
      </c>
      <c r="R100" s="119">
        <v>17.68</v>
      </c>
      <c r="S100" s="5">
        <f>L100*((E$38/O100)-1)</f>
        <v>0.8989624283044404</v>
      </c>
    </row>
    <row r="101" spans="1:19" ht="18" customHeight="1" thickBot="1">
      <c r="A101" s="33">
        <v>-12</v>
      </c>
      <c r="B101" s="34">
        <v>1</v>
      </c>
      <c r="C101" s="79">
        <v>-4.4880000000000004</v>
      </c>
      <c r="D101" s="38">
        <v>-2.0979999999999999</v>
      </c>
      <c r="E101" s="36">
        <v>1.0123E-2</v>
      </c>
      <c r="F101" s="38">
        <v>0.89900000000000002</v>
      </c>
      <c r="G101" s="37">
        <v>1.2350000000000001</v>
      </c>
      <c r="H101" s="37">
        <v>11.07</v>
      </c>
      <c r="I101" s="169">
        <f t="shared" si="11"/>
        <v>2.6027857354539172</v>
      </c>
      <c r="K101" s="116">
        <v>7</v>
      </c>
      <c r="L101" s="117">
        <v>2</v>
      </c>
      <c r="M101" s="118">
        <v>-5.1999999999999998E-2</v>
      </c>
      <c r="N101" s="130">
        <v>5.0000000000000001E-3</v>
      </c>
      <c r="O101" s="131">
        <v>0.35878300000000002</v>
      </c>
      <c r="P101" s="130">
        <v>-0.19</v>
      </c>
      <c r="Q101" s="118">
        <v>-0.47</v>
      </c>
      <c r="R101" s="119">
        <v>18.510000000000002</v>
      </c>
      <c r="S101" s="5">
        <f>L101*((E$46/O101)-1)</f>
        <v>0.98615597728989401</v>
      </c>
    </row>
    <row r="102" spans="1:19" ht="18" customHeight="1">
      <c r="A102" s="66">
        <v>-17</v>
      </c>
      <c r="B102" s="31">
        <v>10000</v>
      </c>
      <c r="C102" s="77">
        <v>1.0069999999999999</v>
      </c>
      <c r="D102" s="67">
        <v>0.623</v>
      </c>
      <c r="E102" s="71">
        <v>1.495E-2</v>
      </c>
      <c r="F102" s="67">
        <v>-0.88</v>
      </c>
      <c r="G102" s="69">
        <v>-1.484</v>
      </c>
      <c r="H102" s="69">
        <v>13.66</v>
      </c>
      <c r="I102" s="168"/>
      <c r="K102" s="116">
        <v>6</v>
      </c>
      <c r="L102" s="117">
        <v>2</v>
      </c>
      <c r="M102" s="118">
        <v>-0.18</v>
      </c>
      <c r="N102" s="130">
        <v>-0.11700000000000001</v>
      </c>
      <c r="O102" s="131">
        <v>0.31681999999999999</v>
      </c>
      <c r="P102" s="130">
        <v>-0.21</v>
      </c>
      <c r="Q102" s="118">
        <v>-0.40100000000000002</v>
      </c>
      <c r="R102" s="119">
        <v>16.170000000000002</v>
      </c>
      <c r="S102" s="5">
        <f>L102*((E$54/O102)-1)</f>
        <v>1.0286598068303769</v>
      </c>
    </row>
    <row r="103" spans="1:19" ht="18" customHeight="1">
      <c r="A103" s="32">
        <v>-17</v>
      </c>
      <c r="B103" s="18">
        <v>200</v>
      </c>
      <c r="C103" s="78">
        <v>0.50800000000000001</v>
      </c>
      <c r="D103" s="19">
        <v>0.48199999999999998</v>
      </c>
      <c r="E103" s="22">
        <v>1.4699E-2</v>
      </c>
      <c r="F103" s="19">
        <v>0.83399999999999996</v>
      </c>
      <c r="G103" s="26">
        <v>-1.4219999999999999</v>
      </c>
      <c r="H103" s="26">
        <v>13.63</v>
      </c>
      <c r="I103" s="168">
        <f>B103*((E$102/E103)-1)</f>
        <v>3.4151983128103858</v>
      </c>
      <c r="K103" s="116">
        <v>3</v>
      </c>
      <c r="L103" s="117">
        <v>2</v>
      </c>
      <c r="M103" s="118">
        <v>-0.40899999999999997</v>
      </c>
      <c r="N103" s="130">
        <v>-0.17</v>
      </c>
      <c r="O103" s="131">
        <v>0.206674</v>
      </c>
      <c r="P103" s="130">
        <v>-1.6E-2</v>
      </c>
      <c r="Q103" s="118">
        <v>-0.22900000000000001</v>
      </c>
      <c r="R103" s="119">
        <v>15.03</v>
      </c>
      <c r="S103" s="5">
        <f>L103*((E$62/O103)-1)</f>
        <v>1.188267513088245</v>
      </c>
    </row>
    <row r="104" spans="1:19" ht="18" customHeight="1">
      <c r="A104" s="32">
        <v>-17</v>
      </c>
      <c r="B104" s="18">
        <v>50</v>
      </c>
      <c r="C104" s="78">
        <v>-0.59199999999999997</v>
      </c>
      <c r="D104" s="19">
        <v>0.11</v>
      </c>
      <c r="E104" s="22">
        <v>1.3965E-2</v>
      </c>
      <c r="F104" s="19">
        <v>-0.69599999999999995</v>
      </c>
      <c r="G104" s="26">
        <v>-1.2330000000000001</v>
      </c>
      <c r="H104" s="26">
        <v>13.63</v>
      </c>
      <c r="I104" s="168">
        <f t="shared" ref="I104:I109" si="12">B104*((E$102/E104)-1)</f>
        <v>3.5266738274257081</v>
      </c>
      <c r="K104" s="116">
        <v>0</v>
      </c>
      <c r="L104" s="117">
        <v>2</v>
      </c>
      <c r="M104" s="118">
        <v>-0.74399999999999999</v>
      </c>
      <c r="N104" s="130">
        <v>-0.34300000000000003</v>
      </c>
      <c r="O104" s="131">
        <v>0.13053899999999999</v>
      </c>
      <c r="P104" s="130">
        <v>0.121</v>
      </c>
      <c r="Q104" s="118">
        <v>-2E-3</v>
      </c>
      <c r="R104" s="119">
        <v>14.39</v>
      </c>
      <c r="S104" s="5">
        <f>L104*((E$70/O104)-1)</f>
        <v>1.3835865143750148</v>
      </c>
    </row>
    <row r="105" spans="1:19" ht="18" customHeight="1">
      <c r="A105" s="32">
        <v>-17</v>
      </c>
      <c r="B105" s="18">
        <v>20</v>
      </c>
      <c r="C105" s="78">
        <v>-1.978</v>
      </c>
      <c r="D105" s="19">
        <v>-0.44</v>
      </c>
      <c r="E105" s="22">
        <v>1.2728E-2</v>
      </c>
      <c r="F105" s="19">
        <v>-0.45</v>
      </c>
      <c r="G105" s="26">
        <v>-0.9</v>
      </c>
      <c r="H105" s="26">
        <v>13.57</v>
      </c>
      <c r="I105" s="168">
        <f t="shared" si="12"/>
        <v>3.4915147705845362</v>
      </c>
      <c r="K105" s="116">
        <v>-3</v>
      </c>
      <c r="L105" s="117">
        <v>2</v>
      </c>
      <c r="M105" s="118">
        <f>-0.91*1.29</f>
        <v>-1.1739000000000002</v>
      </c>
      <c r="N105" s="130">
        <f>-0.428*1.29</f>
        <v>-0.55212000000000006</v>
      </c>
      <c r="O105" s="131">
        <v>8.0769999999999995E-2</v>
      </c>
      <c r="P105" s="130">
        <f>0.193*1.29</f>
        <v>0.24897000000000002</v>
      </c>
      <c r="Q105" s="118">
        <f>0.133*1.29</f>
        <v>0.17157</v>
      </c>
      <c r="R105" s="119">
        <v>12.9</v>
      </c>
      <c r="S105" s="5">
        <f>L105*((E$78/O105)-1)</f>
        <v>1.64722050266188</v>
      </c>
    </row>
    <row r="106" spans="1:19" ht="18" customHeight="1">
      <c r="A106" s="32">
        <v>-17</v>
      </c>
      <c r="B106" s="18">
        <v>10</v>
      </c>
      <c r="C106" s="78">
        <v>-3.2890000000000001</v>
      </c>
      <c r="D106" s="19">
        <v>-1.0289999999999999</v>
      </c>
      <c r="E106" s="22">
        <v>1.1139E-2</v>
      </c>
      <c r="F106" s="19">
        <v>-0.13300000000000001</v>
      </c>
      <c r="G106" s="26">
        <v>-0.44900000000000001</v>
      </c>
      <c r="H106" s="26">
        <v>13.45</v>
      </c>
      <c r="I106" s="168">
        <f t="shared" si="12"/>
        <v>3.4213125056109162</v>
      </c>
      <c r="K106" s="116">
        <v>-8</v>
      </c>
      <c r="L106" s="117">
        <v>2</v>
      </c>
      <c r="M106" s="118">
        <v>-2.4289999999999998</v>
      </c>
      <c r="N106" s="130">
        <v>-1.236</v>
      </c>
      <c r="O106" s="131">
        <v>3.3654999999999997E-2</v>
      </c>
      <c r="P106" s="130">
        <v>0.501</v>
      </c>
      <c r="Q106" s="118">
        <v>0.40699999999999997</v>
      </c>
      <c r="R106" s="119">
        <v>11.74</v>
      </c>
      <c r="S106" s="5">
        <f>L106*((E$86/O106)-1)</f>
        <v>2.2213638389540931</v>
      </c>
    </row>
    <row r="107" spans="1:19" ht="18" customHeight="1">
      <c r="A107" s="32">
        <v>-17</v>
      </c>
      <c r="B107" s="18">
        <v>5</v>
      </c>
      <c r="C107" s="78">
        <v>-4.6719999999999997</v>
      </c>
      <c r="D107" s="19">
        <v>-1.714</v>
      </c>
      <c r="E107" s="22">
        <v>8.9269999999999992E-3</v>
      </c>
      <c r="F107" s="19">
        <v>0.314</v>
      </c>
      <c r="G107" s="26">
        <v>0.20300000000000001</v>
      </c>
      <c r="H107" s="26">
        <v>13.23</v>
      </c>
      <c r="I107" s="168">
        <f t="shared" si="12"/>
        <v>3.3734737313767225</v>
      </c>
      <c r="K107" s="116">
        <v>-12</v>
      </c>
      <c r="L107" s="117">
        <v>2</v>
      </c>
      <c r="M107" s="118">
        <v>-3.9950000000000001</v>
      </c>
      <c r="N107" s="130">
        <v>-1.798</v>
      </c>
      <c r="O107" s="131">
        <v>1.5363E-2</v>
      </c>
      <c r="P107" s="130">
        <v>0.61299999999999999</v>
      </c>
      <c r="Q107" s="118">
        <v>0.751</v>
      </c>
      <c r="R107" s="119">
        <v>11.59</v>
      </c>
      <c r="S107" s="5">
        <f>L107*((E$94/O107)-1)</f>
        <v>2.7479008006248788</v>
      </c>
    </row>
    <row r="108" spans="1:19" ht="18" customHeight="1">
      <c r="A108" s="32">
        <v>-17</v>
      </c>
      <c r="B108" s="18">
        <v>2</v>
      </c>
      <c r="C108" s="78">
        <v>-6.1310000000000002</v>
      </c>
      <c r="D108" s="19">
        <v>-2.5459999999999998</v>
      </c>
      <c r="E108" s="22">
        <v>5.6880000000000003E-3</v>
      </c>
      <c r="F108" s="19">
        <v>0.98</v>
      </c>
      <c r="G108" s="26">
        <v>1.2290000000000001</v>
      </c>
      <c r="H108" s="26">
        <v>12.79</v>
      </c>
      <c r="I108" s="168">
        <f t="shared" si="12"/>
        <v>3.2566807313642752</v>
      </c>
      <c r="K108" s="116">
        <v>-17</v>
      </c>
      <c r="L108" s="117">
        <v>2</v>
      </c>
      <c r="M108" s="118">
        <v>-6.1310000000000002</v>
      </c>
      <c r="N108" s="130">
        <v>-2.5459999999999998</v>
      </c>
      <c r="O108" s="131">
        <v>5.6880000000000003E-3</v>
      </c>
      <c r="P108" s="130">
        <v>0.98</v>
      </c>
      <c r="Q108" s="118">
        <v>1.2290000000000001</v>
      </c>
      <c r="R108" s="119">
        <v>12.79</v>
      </c>
      <c r="S108" s="5">
        <f>L108*((E$102/O108)-1)</f>
        <v>3.2566807313642752</v>
      </c>
    </row>
    <row r="109" spans="1:19" ht="18" customHeight="1" thickBot="1">
      <c r="A109" s="33">
        <v>-17</v>
      </c>
      <c r="B109" s="34">
        <v>1</v>
      </c>
      <c r="C109" s="79">
        <v>-6.9059999999999997</v>
      </c>
      <c r="D109" s="38">
        <v>-2.9740000000000002</v>
      </c>
      <c r="E109" s="36">
        <v>3.5769999999999999E-3</v>
      </c>
      <c r="F109" s="38">
        <v>1.4390000000000001</v>
      </c>
      <c r="G109" s="37">
        <v>1.9730000000000001</v>
      </c>
      <c r="H109" s="37">
        <v>12.5</v>
      </c>
      <c r="I109" s="169">
        <f t="shared" si="12"/>
        <v>3.1794800111825552</v>
      </c>
      <c r="K109" s="116">
        <v>-20</v>
      </c>
      <c r="L109" s="117">
        <v>2</v>
      </c>
      <c r="M109" s="118">
        <v>-5.7320000000000002</v>
      </c>
      <c r="N109" s="130">
        <v>-2.3740000000000001</v>
      </c>
      <c r="O109" s="131">
        <v>3.3149999999999998E-3</v>
      </c>
      <c r="P109" s="130">
        <v>0.95299999999999996</v>
      </c>
      <c r="Q109" s="118">
        <v>1.7230000000000001</v>
      </c>
      <c r="R109" s="119">
        <v>11.7</v>
      </c>
      <c r="S109" s="5">
        <f>L109*((E$110/O109)-1)</f>
        <v>3.4401206636500765</v>
      </c>
    </row>
    <row r="110" spans="1:19" ht="27.75" customHeight="1">
      <c r="A110" s="66">
        <v>-20</v>
      </c>
      <c r="B110" s="31">
        <v>10000</v>
      </c>
      <c r="C110" s="77">
        <v>1.1080000000000001</v>
      </c>
      <c r="D110" s="67">
        <v>0.60399999999999998</v>
      </c>
      <c r="E110" s="71">
        <v>9.0170000000000007E-3</v>
      </c>
      <c r="F110" s="67">
        <v>-0.85899999999999999</v>
      </c>
      <c r="G110" s="69">
        <v>-0.874</v>
      </c>
      <c r="H110" s="69">
        <v>12.23</v>
      </c>
      <c r="I110" s="168"/>
      <c r="K110" s="121"/>
      <c r="L110" s="117"/>
      <c r="M110" s="122"/>
      <c r="N110" s="132"/>
      <c r="O110" s="133"/>
      <c r="P110" s="132"/>
      <c r="Q110" s="122"/>
      <c r="R110" s="123"/>
      <c r="S110" s="1" t="s">
        <v>27</v>
      </c>
    </row>
    <row r="111" spans="1:19" ht="16.5" customHeight="1">
      <c r="A111" s="32">
        <v>-20</v>
      </c>
      <c r="B111" s="18">
        <v>200</v>
      </c>
      <c r="C111" s="78">
        <v>0.66300000000000003</v>
      </c>
      <c r="D111" s="19">
        <v>0.47899999999999998</v>
      </c>
      <c r="E111" s="22">
        <v>8.8559999999999993E-3</v>
      </c>
      <c r="F111" s="19">
        <v>-0.80600000000000005</v>
      </c>
      <c r="G111" s="26">
        <v>-0.81299999999999994</v>
      </c>
      <c r="H111" s="26">
        <v>12.23</v>
      </c>
      <c r="I111" s="168">
        <f>B111*((E$110/E111)-1)</f>
        <v>3.6359530261969475</v>
      </c>
      <c r="K111" s="116">
        <v>18</v>
      </c>
      <c r="L111" s="117">
        <v>1</v>
      </c>
      <c r="M111" s="118">
        <v>0.71399999999999997</v>
      </c>
      <c r="N111" s="130">
        <v>0.45900000000000002</v>
      </c>
      <c r="O111" s="131">
        <v>0.99885000000000002</v>
      </c>
      <c r="P111" s="130">
        <v>-0.54</v>
      </c>
      <c r="Q111" s="118">
        <v>-1.4</v>
      </c>
      <c r="R111" s="119">
        <v>22.35</v>
      </c>
      <c r="S111" s="5">
        <f>L111*((E$6/O111)-1)</f>
        <v>0.59423336837362961</v>
      </c>
    </row>
    <row r="112" spans="1:19" ht="18" customHeight="1">
      <c r="A112" s="32">
        <v>-20</v>
      </c>
      <c r="B112" s="18">
        <v>50</v>
      </c>
      <c r="C112" s="78">
        <v>-0.36599999999999999</v>
      </c>
      <c r="D112" s="19">
        <v>0.14299999999999999</v>
      </c>
      <c r="E112" s="22">
        <v>8.4139999999999996E-3</v>
      </c>
      <c r="F112" s="19">
        <v>-0.68100000000000005</v>
      </c>
      <c r="G112" s="26">
        <v>-0.63800000000000001</v>
      </c>
      <c r="H112" s="26">
        <v>12.18</v>
      </c>
      <c r="I112" s="168">
        <f t="shared" ref="I112:I117" si="13">B112*((E$110/E112)-1)</f>
        <v>3.5833135250772585</v>
      </c>
      <c r="K112" s="116">
        <v>15</v>
      </c>
      <c r="L112" s="117">
        <v>1</v>
      </c>
      <c r="M112" s="118">
        <v>0.42699999999999999</v>
      </c>
      <c r="N112" s="130">
        <v>0.30299999999999999</v>
      </c>
      <c r="O112" s="131">
        <v>0.73328000000000004</v>
      </c>
      <c r="P112" s="130">
        <v>-0.50700000000000001</v>
      </c>
      <c r="Q112" s="118">
        <v>-0.79700000000000004</v>
      </c>
      <c r="R112" s="119">
        <v>20.41</v>
      </c>
      <c r="S112" s="5">
        <f>L112*((E$15/O112)-1)</f>
        <v>0.66375736417193965</v>
      </c>
    </row>
    <row r="113" spans="1:21" ht="18" customHeight="1">
      <c r="A113" s="32">
        <v>-20</v>
      </c>
      <c r="B113" s="18">
        <v>20</v>
      </c>
      <c r="C113" s="78">
        <v>-1.694</v>
      </c>
      <c r="D113" s="19">
        <v>-0.35799999999999998</v>
      </c>
      <c r="E113" s="22">
        <v>7.6490000000000004E-3</v>
      </c>
      <c r="F113" s="19">
        <v>-0.45600000000000002</v>
      </c>
      <c r="G113" s="26">
        <v>-0.33600000000000002</v>
      </c>
      <c r="H113" s="26">
        <v>12.14</v>
      </c>
      <c r="I113" s="168">
        <f t="shared" si="13"/>
        <v>3.5769381618512242</v>
      </c>
      <c r="K113" s="116">
        <v>13</v>
      </c>
      <c r="L113" s="117">
        <v>1</v>
      </c>
      <c r="M113" s="118">
        <v>0.27</v>
      </c>
      <c r="N113" s="130">
        <v>0.23200000000000001</v>
      </c>
      <c r="O113" s="131">
        <v>0.58518999999999999</v>
      </c>
      <c r="P113" s="130">
        <v>-0.35099999999999998</v>
      </c>
      <c r="Q113" s="118">
        <v>-0.65400000000000003</v>
      </c>
      <c r="R113" s="119">
        <v>19.57</v>
      </c>
      <c r="S113" s="5">
        <f>L113*((E$22/O113)-1)</f>
        <v>0.72643073189904128</v>
      </c>
    </row>
    <row r="114" spans="1:21" ht="18" customHeight="1">
      <c r="A114" s="32">
        <v>-20</v>
      </c>
      <c r="B114" s="18">
        <v>10</v>
      </c>
      <c r="C114" s="78">
        <v>-2.9580000000000002</v>
      </c>
      <c r="D114" s="19">
        <v>-0.91300000000000003</v>
      </c>
      <c r="E114" s="22">
        <v>6.6639999999999998E-3</v>
      </c>
      <c r="F114" s="19">
        <v>-0.16</v>
      </c>
      <c r="G114" s="26">
        <v>7.8E-2</v>
      </c>
      <c r="H114" s="26">
        <v>12.06</v>
      </c>
      <c r="I114" s="168">
        <f t="shared" si="13"/>
        <v>3.5309123649459795</v>
      </c>
      <c r="K114" s="116">
        <v>12</v>
      </c>
      <c r="L114" s="117">
        <v>1</v>
      </c>
      <c r="M114" s="118">
        <v>0.218</v>
      </c>
      <c r="N114" s="130">
        <v>0.218</v>
      </c>
      <c r="O114" s="131">
        <v>0.52022900000000005</v>
      </c>
      <c r="P114" s="130">
        <v>-0.27700000000000002</v>
      </c>
      <c r="Q114" s="118">
        <v>-0.56399999999999995</v>
      </c>
      <c r="R114" s="119">
        <v>19.48</v>
      </c>
      <c r="S114" s="5">
        <f>L114*((E$30/O114)-1)</f>
        <v>0.75924640879305061</v>
      </c>
    </row>
    <row r="115" spans="1:21" ht="18" customHeight="1">
      <c r="A115" s="32">
        <v>-20</v>
      </c>
      <c r="B115" s="18">
        <v>5</v>
      </c>
      <c r="C115" s="78">
        <v>-4.2889999999999997</v>
      </c>
      <c r="D115" s="19">
        <v>-1.579</v>
      </c>
      <c r="E115" s="22">
        <v>5.2960000000000004E-3</v>
      </c>
      <c r="F115" s="19">
        <v>0.27900000000000003</v>
      </c>
      <c r="G115" s="26">
        <v>0.71</v>
      </c>
      <c r="H115" s="26">
        <v>11.96</v>
      </c>
      <c r="I115" s="168">
        <f t="shared" si="13"/>
        <v>3.5130287009063443</v>
      </c>
      <c r="K115" s="116">
        <v>9</v>
      </c>
      <c r="L115" s="117">
        <v>1</v>
      </c>
      <c r="M115" s="118">
        <v>-4.9000000000000002E-2</v>
      </c>
      <c r="N115" s="130">
        <v>3.5000000000000003E-2</v>
      </c>
      <c r="O115" s="131">
        <v>0.36491000000000001</v>
      </c>
      <c r="P115" s="130">
        <v>-0.23300000000000001</v>
      </c>
      <c r="Q115" s="118">
        <v>-0.432</v>
      </c>
      <c r="R115" s="119">
        <v>17.149999999999999</v>
      </c>
      <c r="S115" s="5">
        <f>L115*((E$38/O115)-1)</f>
        <v>0.84908059521525847</v>
      </c>
    </row>
    <row r="116" spans="1:21" ht="18" customHeight="1">
      <c r="A116" s="32">
        <v>-20</v>
      </c>
      <c r="B116" s="18">
        <v>2</v>
      </c>
      <c r="C116" s="78">
        <v>-5.7320000000000002</v>
      </c>
      <c r="D116" s="19">
        <v>-2.3740000000000001</v>
      </c>
      <c r="E116" s="22">
        <v>3.3149999999999998E-3</v>
      </c>
      <c r="F116" s="19">
        <v>0.95299999999999996</v>
      </c>
      <c r="G116" s="26">
        <v>1.7230000000000001</v>
      </c>
      <c r="H116" s="26">
        <v>11.7</v>
      </c>
      <c r="I116" s="168">
        <f t="shared" si="13"/>
        <v>3.4401206636500765</v>
      </c>
      <c r="K116" s="116">
        <v>7</v>
      </c>
      <c r="L116" s="117">
        <v>1</v>
      </c>
      <c r="M116" s="118">
        <v>-0.13700000000000001</v>
      </c>
      <c r="N116" s="130">
        <v>-5.3999999999999999E-2</v>
      </c>
      <c r="O116" s="131">
        <v>0.27895999999999999</v>
      </c>
      <c r="P116" s="130">
        <v>-0.105</v>
      </c>
      <c r="Q116" s="118">
        <v>-0.317</v>
      </c>
      <c r="R116" s="119">
        <v>18.09</v>
      </c>
      <c r="S116" s="5">
        <f>L116*((E$46/O116)-1)</f>
        <v>0.92031474046458284</v>
      </c>
    </row>
    <row r="117" spans="1:21" ht="18" customHeight="1" thickBot="1">
      <c r="A117" s="33">
        <v>-20</v>
      </c>
      <c r="B117" s="34">
        <v>1</v>
      </c>
      <c r="C117" s="79">
        <v>-6.4459999999999997</v>
      </c>
      <c r="D117" s="38">
        <v>-2.827</v>
      </c>
      <c r="E117" s="36">
        <v>2.0579999999999999E-3</v>
      </c>
      <c r="F117" s="38">
        <v>1.385</v>
      </c>
      <c r="G117" s="37">
        <v>2.42</v>
      </c>
      <c r="H117" s="37">
        <v>11.4</v>
      </c>
      <c r="I117" s="169">
        <f t="shared" si="13"/>
        <v>3.3814382896015553</v>
      </c>
      <c r="K117" s="116">
        <v>6</v>
      </c>
      <c r="L117" s="117">
        <v>1</v>
      </c>
      <c r="M117" s="118">
        <v>-0.253</v>
      </c>
      <c r="N117" s="130">
        <v>-0.16900000000000001</v>
      </c>
      <c r="O117" s="131">
        <v>0.24562999999999999</v>
      </c>
      <c r="P117" s="130">
        <v>-0.14000000000000001</v>
      </c>
      <c r="Q117" s="118">
        <v>-0.27</v>
      </c>
      <c r="R117" s="119">
        <v>15.71</v>
      </c>
      <c r="S117" s="5">
        <f>L117*((E$54/O117)-1)</f>
        <v>0.95322232626307857</v>
      </c>
    </row>
    <row r="118" spans="1:21" ht="18" customHeight="1">
      <c r="K118" s="116">
        <v>3</v>
      </c>
      <c r="L118" s="117">
        <v>1</v>
      </c>
      <c r="M118" s="118">
        <v>-0.47199999999999998</v>
      </c>
      <c r="N118" s="130">
        <v>-0.22</v>
      </c>
      <c r="O118" s="131">
        <v>0.158224</v>
      </c>
      <c r="P118" s="130">
        <v>5.1999999999999998E-2</v>
      </c>
      <c r="Q118" s="118">
        <v>-9.0999999999999998E-2</v>
      </c>
      <c r="R118" s="119">
        <v>14.51</v>
      </c>
      <c r="S118" s="5">
        <f>L118*((E$62/O118)-1)</f>
        <v>1.0822757609465059</v>
      </c>
    </row>
    <row r="119" spans="1:21" ht="18" customHeight="1">
      <c r="A119" s="207" t="s">
        <v>28</v>
      </c>
      <c r="B119" s="208"/>
      <c r="C119" s="208"/>
      <c r="D119" s="208"/>
      <c r="E119" s="208"/>
      <c r="F119" s="208"/>
      <c r="G119" s="209"/>
      <c r="K119" s="116">
        <v>0</v>
      </c>
      <c r="L119" s="117">
        <v>1</v>
      </c>
      <c r="M119" s="118">
        <v>-0.81100000000000005</v>
      </c>
      <c r="N119" s="130">
        <v>-0.39300000000000002</v>
      </c>
      <c r="O119" s="131">
        <v>9.8278000000000004E-2</v>
      </c>
      <c r="P119" s="130">
        <v>0.20100000000000001</v>
      </c>
      <c r="Q119" s="118">
        <v>0.16</v>
      </c>
      <c r="R119" s="119">
        <v>13.68</v>
      </c>
      <c r="S119" s="5">
        <f>L119*((E$70/O119)-1)</f>
        <v>1.2471458515639311</v>
      </c>
    </row>
    <row r="120" spans="1:21" ht="18" customHeight="1">
      <c r="A120" s="186">
        <v>-22</v>
      </c>
      <c r="B120" s="210" t="s">
        <v>29</v>
      </c>
      <c r="C120" s="211"/>
      <c r="D120" s="211"/>
      <c r="E120" s="211"/>
      <c r="F120" s="211"/>
      <c r="G120" s="212"/>
      <c r="K120" s="116">
        <v>-3</v>
      </c>
      <c r="L120" s="117">
        <v>1</v>
      </c>
      <c r="M120" s="118">
        <f>-1.043*1.22</f>
        <v>-1.2724599999999999</v>
      </c>
      <c r="N120" s="130">
        <f>-0.507*1.22</f>
        <v>-0.61853999999999998</v>
      </c>
      <c r="O120" s="131">
        <v>5.9318999999999997E-2</v>
      </c>
      <c r="P120" s="130">
        <f>0.286*1.22</f>
        <v>0.34891999999999995</v>
      </c>
      <c r="Q120" s="118">
        <f>0.301*1.22</f>
        <v>0.36721999999999999</v>
      </c>
      <c r="R120" s="119">
        <v>12.2</v>
      </c>
      <c r="S120" s="5">
        <f>L120*((E$78/O120)-1)</f>
        <v>1.4830661339537081</v>
      </c>
    </row>
    <row r="121" spans="1:21" ht="18" customHeight="1">
      <c r="A121" s="186">
        <v>0</v>
      </c>
      <c r="B121" s="210" t="s">
        <v>30</v>
      </c>
      <c r="C121" s="211"/>
      <c r="D121" s="211"/>
      <c r="E121" s="211"/>
      <c r="F121" s="211"/>
      <c r="G121" s="212"/>
      <c r="K121" s="116">
        <v>-8</v>
      </c>
      <c r="L121" s="117">
        <v>1</v>
      </c>
      <c r="M121" s="118">
        <v>-2.6749999999999998</v>
      </c>
      <c r="N121" s="130">
        <v>-1.3919999999999999</v>
      </c>
      <c r="O121" s="131">
        <v>2.3347E-2</v>
      </c>
      <c r="P121" s="130">
        <v>0.67400000000000004</v>
      </c>
      <c r="Q121" s="118">
        <v>0.72899999999999998</v>
      </c>
      <c r="R121" s="119">
        <v>11.02</v>
      </c>
      <c r="S121" s="5">
        <f>L121*((E$86/O121)-1)</f>
        <v>2.0425750631772819</v>
      </c>
    </row>
    <row r="122" spans="1:21" ht="18" customHeight="1">
      <c r="A122" s="186">
        <v>23</v>
      </c>
      <c r="B122" s="210" t="s">
        <v>31</v>
      </c>
      <c r="C122" s="211"/>
      <c r="D122" s="211"/>
      <c r="E122" s="211"/>
      <c r="F122" s="211"/>
      <c r="G122" s="212"/>
      <c r="K122" s="116">
        <v>-12</v>
      </c>
      <c r="L122" s="117">
        <v>1</v>
      </c>
      <c r="M122" s="118">
        <v>-4.4880000000000004</v>
      </c>
      <c r="N122" s="130">
        <v>-2.0979999999999999</v>
      </c>
      <c r="O122" s="131">
        <v>1.0123E-2</v>
      </c>
      <c r="P122" s="130">
        <v>0.89900000000000002</v>
      </c>
      <c r="Q122" s="118">
        <v>1.2350000000000001</v>
      </c>
      <c r="R122" s="119">
        <v>11.07</v>
      </c>
      <c r="S122" s="5">
        <f>L122*((E$94/O122)-1)</f>
        <v>2.6027857354539172</v>
      </c>
    </row>
    <row r="123" spans="1:21" ht="18" customHeight="1">
      <c r="A123" s="186">
        <v>50</v>
      </c>
      <c r="B123" s="210" t="s">
        <v>32</v>
      </c>
      <c r="C123" s="211"/>
      <c r="D123" s="211"/>
      <c r="E123" s="211"/>
      <c r="F123" s="211"/>
      <c r="G123" s="212"/>
      <c r="K123" s="116">
        <v>-17</v>
      </c>
      <c r="L123" s="117">
        <v>1</v>
      </c>
      <c r="M123" s="118">
        <v>-6.9059999999999997</v>
      </c>
      <c r="N123" s="130">
        <v>-2.9740000000000002</v>
      </c>
      <c r="O123" s="131">
        <v>3.5769999999999999E-3</v>
      </c>
      <c r="P123" s="130">
        <v>1.4390000000000001</v>
      </c>
      <c r="Q123" s="118">
        <v>1.9730000000000001</v>
      </c>
      <c r="R123" s="119">
        <v>12.5</v>
      </c>
      <c r="S123" s="5">
        <f>L123*((E$102/O123)-1)</f>
        <v>3.1794800111825552</v>
      </c>
    </row>
    <row r="124" spans="1:21" ht="18" customHeight="1" thickBot="1">
      <c r="A124" s="187">
        <v>71</v>
      </c>
      <c r="B124" s="213" t="s">
        <v>33</v>
      </c>
      <c r="C124" s="213"/>
      <c r="D124" s="213"/>
      <c r="E124" s="213"/>
      <c r="F124" s="213"/>
      <c r="G124" s="214"/>
      <c r="K124" s="124">
        <v>-20</v>
      </c>
      <c r="L124" s="125">
        <v>1</v>
      </c>
      <c r="M124" s="126">
        <v>-6.4459999999999997</v>
      </c>
      <c r="N124" s="136">
        <v>-2.827</v>
      </c>
      <c r="O124" s="137">
        <v>2.0579999999999999E-3</v>
      </c>
      <c r="P124" s="136">
        <v>1.385</v>
      </c>
      <c r="Q124" s="126">
        <v>2.42</v>
      </c>
      <c r="R124" s="127">
        <v>11.4</v>
      </c>
      <c r="S124" s="5">
        <f>L124*((E$110/O124)-1)</f>
        <v>3.3814382896015553</v>
      </c>
    </row>
    <row r="125" spans="1:21" ht="18" customHeight="1" thickTop="1" thickBot="1"/>
    <row r="126" spans="1:21" ht="63.75" customHeight="1" thickTop="1">
      <c r="K126" s="138" t="s">
        <v>6</v>
      </c>
      <c r="L126" s="139" t="s">
        <v>7</v>
      </c>
      <c r="M126" s="215" t="s">
        <v>34</v>
      </c>
      <c r="N126" s="216"/>
      <c r="O126" s="216"/>
      <c r="P126" s="216"/>
      <c r="Q126" s="217"/>
      <c r="R126" s="140" t="s">
        <v>9</v>
      </c>
    </row>
    <row r="127" spans="1:21" ht="43.5" customHeight="1" thickBot="1">
      <c r="K127" s="141" t="s">
        <v>11</v>
      </c>
      <c r="L127" s="142" t="s">
        <v>12</v>
      </c>
      <c r="M127" s="142" t="s">
        <v>35</v>
      </c>
      <c r="N127" s="142" t="s">
        <v>36</v>
      </c>
      <c r="O127" s="142" t="s">
        <v>15</v>
      </c>
      <c r="P127" s="142" t="s">
        <v>37</v>
      </c>
      <c r="Q127" s="142" t="s">
        <v>38</v>
      </c>
      <c r="R127" s="143" t="s">
        <v>20</v>
      </c>
      <c r="U127" s="14"/>
    </row>
    <row r="128" spans="1:21" ht="18" customHeight="1" thickTop="1">
      <c r="K128" s="144">
        <v>18</v>
      </c>
      <c r="L128" s="145">
        <v>10000</v>
      </c>
      <c r="M128" s="146">
        <f t="shared" ref="M128:N141" si="14">$O6* 10^(M6/$R6)</f>
        <v>1.7643011485997218</v>
      </c>
      <c r="N128" s="146">
        <f t="shared" si="14"/>
        <v>1.6946066708494807</v>
      </c>
      <c r="O128" s="146">
        <v>1.5924</v>
      </c>
      <c r="P128" s="146">
        <f t="shared" ref="P128:Q141" si="15">$O6* 10^(P6/$R6)</f>
        <v>1.4857756425833426</v>
      </c>
      <c r="Q128" s="146">
        <f t="shared" si="15"/>
        <v>1.3534060707842732</v>
      </c>
      <c r="R128" s="147">
        <v>26.28</v>
      </c>
      <c r="U128" s="5"/>
    </row>
    <row r="129" spans="11:21" ht="18" customHeight="1">
      <c r="K129" s="148">
        <v>15</v>
      </c>
      <c r="L129" s="149">
        <v>10000</v>
      </c>
      <c r="M129" s="150">
        <f t="shared" si="14"/>
        <v>1.3565018917303953</v>
      </c>
      <c r="N129" s="150">
        <f t="shared" si="14"/>
        <v>1.3019641765092991</v>
      </c>
      <c r="O129" s="150">
        <v>1.2242999999999999</v>
      </c>
      <c r="P129" s="150">
        <f t="shared" si="15"/>
        <v>1.1304380859621332</v>
      </c>
      <c r="Q129" s="150">
        <f t="shared" si="15"/>
        <v>1.0753353999645661</v>
      </c>
      <c r="R129" s="151">
        <v>23.96</v>
      </c>
      <c r="U129" s="5"/>
    </row>
    <row r="130" spans="11:21" ht="18" customHeight="1">
      <c r="K130" s="148">
        <v>13</v>
      </c>
      <c r="L130" s="149">
        <v>10000</v>
      </c>
      <c r="M130" s="150">
        <f t="shared" si="14"/>
        <v>1.1139084225616667</v>
      </c>
      <c r="N130" s="150">
        <f t="shared" si="14"/>
        <v>1.0740205173460613</v>
      </c>
      <c r="O130" s="150">
        <v>1.0102899999999999</v>
      </c>
      <c r="P130" s="150">
        <f t="shared" si="15"/>
        <v>0.94062390430267306</v>
      </c>
      <c r="Q130" s="150">
        <f t="shared" si="15"/>
        <v>0.88901599260858932</v>
      </c>
      <c r="R130" s="151">
        <v>23.3</v>
      </c>
      <c r="U130" s="5"/>
    </row>
    <row r="131" spans="11:21" ht="18" customHeight="1">
      <c r="K131" s="148">
        <v>12</v>
      </c>
      <c r="L131" s="149">
        <v>10000</v>
      </c>
      <c r="M131" s="150">
        <f t="shared" si="14"/>
        <v>1.0060205327821281</v>
      </c>
      <c r="N131" s="150">
        <f t="shared" si="14"/>
        <v>0.97324069553791881</v>
      </c>
      <c r="O131" s="150">
        <v>0.915211</v>
      </c>
      <c r="P131" s="150">
        <f t="shared" si="15"/>
        <v>0.85567088793919566</v>
      </c>
      <c r="Q131" s="150">
        <f t="shared" si="15"/>
        <v>0.8080927560395007</v>
      </c>
      <c r="R131" s="151">
        <v>22.66</v>
      </c>
      <c r="U131" s="5"/>
    </row>
    <row r="132" spans="11:21" ht="18" customHeight="1">
      <c r="K132" s="148">
        <v>9</v>
      </c>
      <c r="L132" s="149">
        <v>10000</v>
      </c>
      <c r="M132" s="150">
        <f t="shared" si="14"/>
        <v>0.72992282476406389</v>
      </c>
      <c r="N132" s="150">
        <f t="shared" si="14"/>
        <v>0.70891675363673479</v>
      </c>
      <c r="O132" s="150">
        <v>0.67474800000000001</v>
      </c>
      <c r="P132" s="150">
        <f t="shared" si="15"/>
        <v>0.62605181308801738</v>
      </c>
      <c r="Q132" s="150">
        <f t="shared" si="15"/>
        <v>0.59272177062433329</v>
      </c>
      <c r="R132" s="151">
        <v>19.95</v>
      </c>
      <c r="U132" s="5"/>
    </row>
    <row r="133" spans="11:21" ht="18" customHeight="1">
      <c r="K133" s="148">
        <v>7</v>
      </c>
      <c r="L133" s="149">
        <v>10000</v>
      </c>
      <c r="M133" s="150">
        <f t="shared" si="14"/>
        <v>0.58008668100976901</v>
      </c>
      <c r="N133" s="150">
        <f t="shared" si="14"/>
        <v>0.56232468275056469</v>
      </c>
      <c r="O133" s="150">
        <v>0.53569100000000003</v>
      </c>
      <c r="P133" s="150">
        <f t="shared" si="15"/>
        <v>0.50250058558214872</v>
      </c>
      <c r="Q133" s="150">
        <f t="shared" si="15"/>
        <v>0.47292859736784482</v>
      </c>
      <c r="R133" s="151">
        <v>20.88</v>
      </c>
      <c r="U133" s="5"/>
    </row>
    <row r="134" spans="11:21" ht="18" customHeight="1">
      <c r="K134" s="148">
        <v>6</v>
      </c>
      <c r="L134" s="149">
        <v>10000</v>
      </c>
      <c r="M134" s="150">
        <f t="shared" si="14"/>
        <v>0.51418587153069284</v>
      </c>
      <c r="N134" s="150">
        <f t="shared" si="14"/>
        <v>0.49833156653378163</v>
      </c>
      <c r="O134" s="150">
        <v>0.47976999999999997</v>
      </c>
      <c r="P134" s="150">
        <f t="shared" si="15"/>
        <v>0.44603427715546901</v>
      </c>
      <c r="Q134" s="150">
        <f t="shared" si="15"/>
        <v>0.42116264588657404</v>
      </c>
      <c r="R134" s="151">
        <v>18.38</v>
      </c>
      <c r="U134" s="5"/>
    </row>
    <row r="135" spans="11:21" ht="18" customHeight="1">
      <c r="K135" s="148">
        <v>3</v>
      </c>
      <c r="L135" s="149">
        <v>10000</v>
      </c>
      <c r="M135" s="150">
        <f t="shared" si="14"/>
        <v>0.35274217591840185</v>
      </c>
      <c r="N135" s="150">
        <f t="shared" si="14"/>
        <v>0.34511286836795013</v>
      </c>
      <c r="O135" s="150">
        <v>0.32946599999999998</v>
      </c>
      <c r="P135" s="150">
        <f t="shared" si="15"/>
        <v>0.30916509277603033</v>
      </c>
      <c r="Q135" s="150">
        <f t="shared" si="15"/>
        <v>0.28818747915374809</v>
      </c>
      <c r="R135" s="151">
        <v>17.27</v>
      </c>
      <c r="U135" s="5"/>
    </row>
    <row r="136" spans="11:21" ht="18" customHeight="1">
      <c r="K136" s="148">
        <v>0</v>
      </c>
      <c r="L136" s="149">
        <v>10000</v>
      </c>
      <c r="M136" s="150">
        <f t="shared" si="14"/>
        <v>0.23909713636647034</v>
      </c>
      <c r="N136" s="150">
        <f t="shared" si="14"/>
        <v>0.23178463253653861</v>
      </c>
      <c r="O136" s="150">
        <v>0.22084500000000001</v>
      </c>
      <c r="P136" s="150">
        <f t="shared" si="15"/>
        <v>0.20675968900750619</v>
      </c>
      <c r="Q136" s="150">
        <f t="shared" si="15"/>
        <v>0.19292028450790227</v>
      </c>
      <c r="R136" s="151">
        <v>17.05</v>
      </c>
      <c r="U136" s="5"/>
    </row>
    <row r="137" spans="11:21" ht="18" customHeight="1">
      <c r="K137" s="152">
        <v>-3</v>
      </c>
      <c r="L137" s="149">
        <v>10000</v>
      </c>
      <c r="M137" s="150">
        <f t="shared" si="14"/>
        <v>0.16183859810260001</v>
      </c>
      <c r="N137" s="150">
        <f t="shared" si="14"/>
        <v>0.15512511189839728</v>
      </c>
      <c r="O137" s="150">
        <v>0.14729300000000001</v>
      </c>
      <c r="P137" s="150">
        <f t="shared" si="15"/>
        <v>0.13692479764661505</v>
      </c>
      <c r="Q137" s="150">
        <f t="shared" si="15"/>
        <v>0.12655581582191586</v>
      </c>
      <c r="R137" s="151">
        <v>15.5</v>
      </c>
      <c r="U137" s="5"/>
    </row>
    <row r="138" spans="11:21" ht="18" customHeight="1">
      <c r="K138" s="148">
        <v>-8</v>
      </c>
      <c r="L138" s="149">
        <v>10000</v>
      </c>
      <c r="M138" s="150">
        <f t="shared" si="14"/>
        <v>8.0222165656355079E-2</v>
      </c>
      <c r="N138" s="150">
        <f t="shared" si="14"/>
        <v>7.5426088934699181E-2</v>
      </c>
      <c r="O138" s="150">
        <v>7.1035000000000001E-2</v>
      </c>
      <c r="P138" s="150">
        <f t="shared" si="15"/>
        <v>6.4739371280668631E-2</v>
      </c>
      <c r="Q138" s="150">
        <f t="shared" si="15"/>
        <v>5.7679801830549139E-2</v>
      </c>
      <c r="R138" s="151">
        <v>13.82</v>
      </c>
      <c r="U138" s="5"/>
    </row>
    <row r="139" spans="11:21" ht="18" customHeight="1">
      <c r="K139" s="148">
        <v>-12</v>
      </c>
      <c r="L139" s="149">
        <v>10000</v>
      </c>
      <c r="M139" s="150">
        <f t="shared" si="14"/>
        <v>4.160927216598706E-2</v>
      </c>
      <c r="N139" s="150">
        <f t="shared" si="14"/>
        <v>3.9709623890319165E-2</v>
      </c>
      <c r="O139" s="150">
        <v>3.6471000000000003E-2</v>
      </c>
      <c r="P139" s="150">
        <f t="shared" si="15"/>
        <v>3.1836378476010334E-2</v>
      </c>
      <c r="Q139" s="150">
        <f t="shared" si="15"/>
        <v>2.8856494127955361E-2</v>
      </c>
      <c r="R139" s="151">
        <v>12.91</v>
      </c>
      <c r="U139" s="5"/>
    </row>
    <row r="140" spans="11:21" ht="18" customHeight="1">
      <c r="K140" s="148">
        <v>-17</v>
      </c>
      <c r="L140" s="149">
        <v>10000</v>
      </c>
      <c r="M140" s="150">
        <f t="shared" si="14"/>
        <v>1.7715771901900969E-2</v>
      </c>
      <c r="N140" s="150">
        <f t="shared" si="14"/>
        <v>1.6605379526739492E-2</v>
      </c>
      <c r="O140" s="150">
        <v>1.495E-2</v>
      </c>
      <c r="P140" s="150">
        <f t="shared" si="15"/>
        <v>1.2889008899377491E-2</v>
      </c>
      <c r="Q140" s="150">
        <f t="shared" si="15"/>
        <v>1.1641336219084831E-2</v>
      </c>
      <c r="R140" s="151">
        <v>13.66</v>
      </c>
      <c r="U140" s="5"/>
    </row>
    <row r="141" spans="11:21" ht="18" customHeight="1">
      <c r="K141" s="148">
        <v>-20</v>
      </c>
      <c r="L141" s="149">
        <v>10000</v>
      </c>
      <c r="M141" s="150">
        <f t="shared" si="14"/>
        <v>1.1108590629226922E-2</v>
      </c>
      <c r="N141" s="150">
        <f t="shared" si="14"/>
        <v>1.010296442089928E-2</v>
      </c>
      <c r="O141" s="150">
        <v>9.0170000000000007E-3</v>
      </c>
      <c r="P141" s="150">
        <f t="shared" si="15"/>
        <v>7.6705224938579779E-3</v>
      </c>
      <c r="Q141" s="150">
        <f t="shared" si="15"/>
        <v>7.6488907099053378E-3</v>
      </c>
      <c r="R141" s="151">
        <v>12.23</v>
      </c>
    </row>
    <row r="142" spans="11:21" ht="24.75" customHeight="1">
      <c r="K142" s="153"/>
      <c r="L142" s="149"/>
      <c r="M142" s="149"/>
      <c r="N142" s="149"/>
      <c r="O142" s="154"/>
      <c r="P142" s="149"/>
      <c r="Q142" s="149"/>
      <c r="R142" s="155"/>
      <c r="U142" s="1"/>
    </row>
    <row r="143" spans="11:21" ht="18" customHeight="1">
      <c r="K143" s="148">
        <v>18</v>
      </c>
      <c r="L143" s="149">
        <v>200</v>
      </c>
      <c r="M143" s="150">
        <f t="shared" ref="M143:N156" si="16">$O21* 10^(M21/$R21)</f>
        <v>1.7593267412074387</v>
      </c>
      <c r="N143" s="150">
        <f t="shared" si="16"/>
        <v>1.689698944188448</v>
      </c>
      <c r="O143" s="150">
        <v>1.5875999999999999</v>
      </c>
      <c r="P143" s="150">
        <f t="shared" ref="P143:Q156" si="17">$O21* 10^(P21/$R21)</f>
        <v>1.4812313831188544</v>
      </c>
      <c r="Q143" s="150">
        <f t="shared" si="17"/>
        <v>1.3495004645271946</v>
      </c>
      <c r="R143" s="151">
        <v>26.23</v>
      </c>
      <c r="U143" s="5"/>
    </row>
    <row r="144" spans="11:21" ht="18" customHeight="1">
      <c r="K144" s="148">
        <v>15</v>
      </c>
      <c r="L144" s="149">
        <v>200</v>
      </c>
      <c r="M144" s="150">
        <f t="shared" si="16"/>
        <v>1.3504737484801663</v>
      </c>
      <c r="N144" s="150">
        <f t="shared" si="16"/>
        <v>1.2965878151196728</v>
      </c>
      <c r="O144" s="150">
        <v>1.22</v>
      </c>
      <c r="P144" s="150">
        <f t="shared" si="17"/>
        <v>1.1263285529856066</v>
      </c>
      <c r="Q144" s="150">
        <f t="shared" si="17"/>
        <v>1.0721995488436713</v>
      </c>
      <c r="R144" s="151">
        <v>23.75</v>
      </c>
      <c r="U144" s="5"/>
    </row>
    <row r="145" spans="11:21" ht="18" customHeight="1">
      <c r="K145" s="148">
        <v>13</v>
      </c>
      <c r="L145" s="149">
        <v>200</v>
      </c>
      <c r="M145" s="150">
        <f t="shared" si="16"/>
        <v>1.1080531270976224</v>
      </c>
      <c r="N145" s="150">
        <f t="shared" si="16"/>
        <v>1.0691417161804608</v>
      </c>
      <c r="O145" s="150">
        <v>1.0049699999999999</v>
      </c>
      <c r="P145" s="150">
        <f t="shared" si="17"/>
        <v>0.93626809963384794</v>
      </c>
      <c r="Q145" s="150">
        <f t="shared" si="17"/>
        <v>0.88577896905545506</v>
      </c>
      <c r="R145" s="151">
        <v>23.51</v>
      </c>
      <c r="U145" s="5"/>
    </row>
    <row r="146" spans="11:21" ht="18" customHeight="1">
      <c r="K146" s="148">
        <v>12</v>
      </c>
      <c r="L146" s="149">
        <v>200</v>
      </c>
      <c r="M146" s="150">
        <f t="shared" si="16"/>
        <v>1.0002396861745408</v>
      </c>
      <c r="N146" s="150">
        <f t="shared" si="16"/>
        <v>0.96837981072627688</v>
      </c>
      <c r="O146" s="150">
        <v>0.91119000000000006</v>
      </c>
      <c r="P146" s="150">
        <f t="shared" si="17"/>
        <v>0.85276448298827678</v>
      </c>
      <c r="Q146" s="150">
        <f t="shared" si="17"/>
        <v>0.8040378538968711</v>
      </c>
      <c r="R146" s="151">
        <v>22.62</v>
      </c>
      <c r="U146" s="5"/>
    </row>
    <row r="147" spans="11:21" ht="18" customHeight="1">
      <c r="K147" s="148">
        <v>9</v>
      </c>
      <c r="L147" s="149">
        <v>200</v>
      </c>
      <c r="M147" s="150">
        <f t="shared" si="16"/>
        <v>0.72345787806238882</v>
      </c>
      <c r="N147" s="150">
        <f t="shared" si="16"/>
        <v>0.70407495387619934</v>
      </c>
      <c r="O147" s="150">
        <v>0.671435</v>
      </c>
      <c r="P147" s="150">
        <f t="shared" si="17"/>
        <v>0.62380425227568947</v>
      </c>
      <c r="Q147" s="150">
        <f t="shared" si="17"/>
        <v>0.59027772582507376</v>
      </c>
      <c r="R147" s="151">
        <v>19.84</v>
      </c>
      <c r="U147" s="5"/>
    </row>
    <row r="148" spans="11:21" ht="18" customHeight="1">
      <c r="K148" s="148">
        <v>7</v>
      </c>
      <c r="L148" s="149">
        <v>200</v>
      </c>
      <c r="M148" s="150">
        <f t="shared" si="16"/>
        <v>0.57294385229332201</v>
      </c>
      <c r="N148" s="150">
        <f t="shared" si="16"/>
        <v>0.55748264501173328</v>
      </c>
      <c r="O148" s="150">
        <v>0.53237999999999996</v>
      </c>
      <c r="P148" s="150">
        <f t="shared" si="17"/>
        <v>0.50014197502850277</v>
      </c>
      <c r="Q148" s="150">
        <f t="shared" si="17"/>
        <v>0.47095019239732233</v>
      </c>
      <c r="R148" s="151">
        <v>20.79</v>
      </c>
      <c r="U148" s="5"/>
    </row>
    <row r="149" spans="11:21" ht="18" customHeight="1">
      <c r="K149" s="148">
        <v>6</v>
      </c>
      <c r="L149" s="149">
        <v>200</v>
      </c>
      <c r="M149" s="150">
        <f t="shared" si="16"/>
        <v>0.50687821532800326</v>
      </c>
      <c r="N149" s="150">
        <f t="shared" si="16"/>
        <v>0.4937153354286194</v>
      </c>
      <c r="O149" s="150">
        <v>0.47655500000000001</v>
      </c>
      <c r="P149" s="150">
        <f t="shared" si="17"/>
        <v>0.44355600139553125</v>
      </c>
      <c r="Q149" s="150">
        <f t="shared" si="17"/>
        <v>0.41965422322923063</v>
      </c>
      <c r="R149" s="151">
        <v>18.29</v>
      </c>
      <c r="U149" s="5"/>
    </row>
    <row r="150" spans="11:21" ht="18" customHeight="1">
      <c r="K150" s="148">
        <v>3</v>
      </c>
      <c r="L150" s="149">
        <v>200</v>
      </c>
      <c r="M150" s="150">
        <f t="shared" si="16"/>
        <v>0.3450380974431968</v>
      </c>
      <c r="N150" s="150">
        <f t="shared" si="16"/>
        <v>0.34049539010704816</v>
      </c>
      <c r="O150" s="150">
        <v>0.326654</v>
      </c>
      <c r="P150" s="150">
        <f t="shared" si="17"/>
        <v>0.30755669827468146</v>
      </c>
      <c r="Q150" s="150">
        <f t="shared" si="17"/>
        <v>0.2867981547374947</v>
      </c>
      <c r="R150" s="151">
        <v>17.2</v>
      </c>
      <c r="U150" s="5"/>
    </row>
    <row r="151" spans="11:21" ht="18" customHeight="1">
      <c r="K151" s="148">
        <v>0</v>
      </c>
      <c r="L151" s="149">
        <v>200</v>
      </c>
      <c r="M151" s="150">
        <f t="shared" si="16"/>
        <v>0.23097006737678169</v>
      </c>
      <c r="N151" s="150">
        <f t="shared" si="16"/>
        <v>0.22754633871684532</v>
      </c>
      <c r="O151" s="150">
        <v>0.218613</v>
      </c>
      <c r="P151" s="150">
        <f t="shared" si="17"/>
        <v>0.20537772677066901</v>
      </c>
      <c r="Q151" s="150">
        <f t="shared" si="17"/>
        <v>0.19189877856943524</v>
      </c>
      <c r="R151" s="151">
        <v>16.96</v>
      </c>
      <c r="U151" s="5"/>
    </row>
    <row r="152" spans="11:21" ht="18" customHeight="1">
      <c r="K152" s="148">
        <v>-3</v>
      </c>
      <c r="L152" s="149">
        <v>200</v>
      </c>
      <c r="M152" s="150">
        <f t="shared" si="16"/>
        <v>0.15425495163691744</v>
      </c>
      <c r="N152" s="150">
        <f t="shared" si="16"/>
        <v>0.15154412829752059</v>
      </c>
      <c r="O152" s="150">
        <v>0.14549200000000001</v>
      </c>
      <c r="P152" s="150">
        <f t="shared" si="17"/>
        <v>0.13590615129561182</v>
      </c>
      <c r="Q152" s="150">
        <f t="shared" si="17"/>
        <v>0.12581693868216864</v>
      </c>
      <c r="R152" s="151">
        <v>15.4</v>
      </c>
      <c r="U152" s="5"/>
    </row>
    <row r="153" spans="11:21" ht="18" customHeight="1">
      <c r="K153" s="148">
        <v>-8</v>
      </c>
      <c r="L153" s="149">
        <v>200</v>
      </c>
      <c r="M153" s="150">
        <f t="shared" si="16"/>
        <v>7.4891188362488259E-2</v>
      </c>
      <c r="N153" s="150">
        <f t="shared" si="16"/>
        <v>7.2964223880479698E-2</v>
      </c>
      <c r="O153" s="150">
        <v>6.9979E-2</v>
      </c>
      <c r="P153" s="150">
        <f t="shared" si="17"/>
        <v>6.4155202934401134E-2</v>
      </c>
      <c r="Q153" s="150">
        <f t="shared" si="17"/>
        <v>5.7321878884691355E-2</v>
      </c>
      <c r="R153" s="151">
        <v>13.78</v>
      </c>
      <c r="U153" s="5"/>
    </row>
    <row r="154" spans="11:21" ht="18" customHeight="1">
      <c r="K154" s="148">
        <v>-12</v>
      </c>
      <c r="L154" s="149">
        <v>200</v>
      </c>
      <c r="M154" s="150">
        <f t="shared" si="16"/>
        <v>3.830801557121595E-2</v>
      </c>
      <c r="N154" s="150">
        <f t="shared" si="16"/>
        <v>3.8212480015345322E-2</v>
      </c>
      <c r="O154" s="150">
        <v>3.5867999999999997E-2</v>
      </c>
      <c r="P154" s="150">
        <f t="shared" si="17"/>
        <v>3.1556683886460372E-2</v>
      </c>
      <c r="Q154" s="150">
        <f t="shared" si="17"/>
        <v>2.8679604397522283E-2</v>
      </c>
      <c r="R154" s="151">
        <v>12.91</v>
      </c>
      <c r="U154" s="5"/>
    </row>
    <row r="155" spans="11:21" ht="18" customHeight="1">
      <c r="K155" s="148">
        <v>-17</v>
      </c>
      <c r="L155" s="149">
        <v>200</v>
      </c>
      <c r="M155" s="150">
        <f t="shared" si="16"/>
        <v>1.6016164333974146E-2</v>
      </c>
      <c r="N155" s="150">
        <f t="shared" si="16"/>
        <v>1.5945970612555625E-2</v>
      </c>
      <c r="O155" s="150">
        <v>1.4699E-2</v>
      </c>
      <c r="P155" s="150">
        <f t="shared" si="17"/>
        <v>1.2767305053265454E-2</v>
      </c>
      <c r="Q155" s="150">
        <f t="shared" si="17"/>
        <v>1.1560033780697773E-2</v>
      </c>
      <c r="R155" s="151">
        <v>13.63</v>
      </c>
      <c r="U155" s="5"/>
    </row>
    <row r="156" spans="11:21" ht="18" customHeight="1">
      <c r="K156" s="148">
        <v>-20</v>
      </c>
      <c r="L156" s="149">
        <v>200</v>
      </c>
      <c r="M156" s="150">
        <f t="shared" si="16"/>
        <v>1.0033410118837042E-2</v>
      </c>
      <c r="N156" s="150">
        <f t="shared" si="16"/>
        <v>9.691781024478997E-3</v>
      </c>
      <c r="O156" s="150">
        <v>8.8559999999999993E-3</v>
      </c>
      <c r="P156" s="150">
        <f t="shared" si="17"/>
        <v>7.6091140203685455E-3</v>
      </c>
      <c r="Q156" s="150">
        <f t="shared" si="17"/>
        <v>7.5990924630791098E-3</v>
      </c>
      <c r="R156" s="151">
        <v>12.23</v>
      </c>
      <c r="U156" s="5"/>
    </row>
    <row r="157" spans="11:21" ht="27" customHeight="1">
      <c r="K157" s="153"/>
      <c r="L157" s="149"/>
      <c r="M157" s="149"/>
      <c r="N157" s="149"/>
      <c r="O157" s="154"/>
      <c r="P157" s="149"/>
      <c r="Q157" s="149"/>
      <c r="R157" s="155"/>
      <c r="U157" s="1"/>
    </row>
    <row r="158" spans="11:21" ht="18" customHeight="1">
      <c r="K158" s="148">
        <v>18</v>
      </c>
      <c r="L158" s="149">
        <v>50</v>
      </c>
      <c r="M158" s="150">
        <f t="shared" ref="M158:N171" si="18">$O36* 10^(M36/$R36)</f>
        <v>1.7428248078089288</v>
      </c>
      <c r="N158" s="150">
        <f t="shared" si="18"/>
        <v>1.6738269149471399</v>
      </c>
      <c r="O158" s="150">
        <v>1.5733999999999999</v>
      </c>
      <c r="P158" s="150">
        <f t="shared" ref="P158:Q171" si="19">$O36* 10^(P36/$R36)</f>
        <v>1.4685770174144448</v>
      </c>
      <c r="Q158" s="150">
        <f t="shared" si="19"/>
        <v>1.3372288833359416</v>
      </c>
      <c r="R158" s="151">
        <v>26.05</v>
      </c>
      <c r="U158" s="5"/>
    </row>
    <row r="159" spans="11:21" ht="18" customHeight="1">
      <c r="K159" s="148">
        <v>15</v>
      </c>
      <c r="L159" s="149">
        <v>50</v>
      </c>
      <c r="M159" s="150">
        <f t="shared" si="18"/>
        <v>1.333417389628742</v>
      </c>
      <c r="N159" s="150">
        <f t="shared" si="18"/>
        <v>1.2820236915646821</v>
      </c>
      <c r="O159" s="150">
        <v>1.2069700000000001</v>
      </c>
      <c r="P159" s="150">
        <f t="shared" si="19"/>
        <v>1.1141967013007459</v>
      </c>
      <c r="Q159" s="150">
        <f t="shared" si="19"/>
        <v>1.0622824339533412</v>
      </c>
      <c r="R159" s="151">
        <v>23.55</v>
      </c>
      <c r="U159" s="5"/>
    </row>
    <row r="160" spans="11:21" ht="18" customHeight="1">
      <c r="K160" s="148">
        <v>13</v>
      </c>
      <c r="L160" s="149">
        <v>50</v>
      </c>
      <c r="M160" s="150">
        <f t="shared" si="18"/>
        <v>1.0906302812010713</v>
      </c>
      <c r="N160" s="150">
        <f t="shared" si="18"/>
        <v>1.0542298952515801</v>
      </c>
      <c r="O160" s="150">
        <v>0.99260000000000004</v>
      </c>
      <c r="P160" s="150">
        <f t="shared" si="19"/>
        <v>0.92690276380600756</v>
      </c>
      <c r="Q160" s="150">
        <f t="shared" si="19"/>
        <v>0.87717998742625491</v>
      </c>
      <c r="R160" s="151">
        <v>23.47</v>
      </c>
      <c r="U160" s="5"/>
    </row>
    <row r="161" spans="11:23" ht="18" customHeight="1">
      <c r="K161" s="148">
        <v>12</v>
      </c>
      <c r="L161" s="149">
        <v>50</v>
      </c>
      <c r="M161" s="150">
        <f t="shared" si="18"/>
        <v>0.98205782460309055</v>
      </c>
      <c r="N161" s="150">
        <f t="shared" si="18"/>
        <v>0.95429292297285051</v>
      </c>
      <c r="O161" s="150">
        <v>0.89980000000000004</v>
      </c>
      <c r="P161" s="150">
        <f t="shared" si="19"/>
        <v>0.84398259176144441</v>
      </c>
      <c r="Q161" s="150">
        <f t="shared" si="19"/>
        <v>0.79619782858685095</v>
      </c>
      <c r="R161" s="151">
        <v>22.4</v>
      </c>
      <c r="U161" s="5"/>
    </row>
    <row r="162" spans="11:23" ht="18" customHeight="1">
      <c r="K162" s="148">
        <v>9</v>
      </c>
      <c r="L162" s="149">
        <v>50</v>
      </c>
      <c r="M162" s="150">
        <f t="shared" si="18"/>
        <v>0.70585881581683829</v>
      </c>
      <c r="N162" s="150">
        <f t="shared" si="18"/>
        <v>0.69090615668536093</v>
      </c>
      <c r="O162" s="150">
        <v>0.66109300000000004</v>
      </c>
      <c r="P162" s="150">
        <f t="shared" si="19"/>
        <v>0.61598693613754507</v>
      </c>
      <c r="Q162" s="150">
        <f t="shared" si="19"/>
        <v>0.58357394285208852</v>
      </c>
      <c r="R162" s="151">
        <v>19.68</v>
      </c>
      <c r="U162" s="5"/>
    </row>
    <row r="163" spans="11:23" ht="18" customHeight="1">
      <c r="K163" s="148">
        <v>7</v>
      </c>
      <c r="L163" s="149">
        <v>50</v>
      </c>
      <c r="M163" s="150">
        <f t="shared" si="18"/>
        <v>0.55519607615782329</v>
      </c>
      <c r="N163" s="150">
        <f t="shared" si="18"/>
        <v>0.54433892343242074</v>
      </c>
      <c r="O163" s="150">
        <v>0.52314000000000005</v>
      </c>
      <c r="P163" s="150">
        <f t="shared" si="19"/>
        <v>0.49293478710069893</v>
      </c>
      <c r="Q163" s="150">
        <f t="shared" si="19"/>
        <v>0.46499505821579329</v>
      </c>
      <c r="R163" s="151">
        <v>20.52</v>
      </c>
      <c r="U163" s="5"/>
    </row>
    <row r="164" spans="11:23" ht="18" customHeight="1">
      <c r="K164" s="148">
        <v>6</v>
      </c>
      <c r="L164" s="149">
        <v>50</v>
      </c>
      <c r="M164" s="150">
        <f t="shared" si="18"/>
        <v>0.48908318951649937</v>
      </c>
      <c r="N164" s="150">
        <f t="shared" si="18"/>
        <v>0.48067582649122148</v>
      </c>
      <c r="O164" s="150">
        <v>0.46761900000000001</v>
      </c>
      <c r="P164" s="150">
        <f t="shared" si="19"/>
        <v>0.43706449350316329</v>
      </c>
      <c r="Q164" s="150">
        <f t="shared" si="19"/>
        <v>0.41401193173608103</v>
      </c>
      <c r="R164" s="151">
        <v>18.059999999999999</v>
      </c>
      <c r="U164" s="5"/>
    </row>
    <row r="165" spans="11:23" ht="18" customHeight="1">
      <c r="K165" s="148">
        <v>3</v>
      </c>
      <c r="L165" s="149">
        <v>50</v>
      </c>
      <c r="M165" s="150">
        <f t="shared" si="18"/>
        <v>0.32797254530841152</v>
      </c>
      <c r="N165" s="150">
        <f t="shared" si="18"/>
        <v>0.32855122961512262</v>
      </c>
      <c r="O165" s="150">
        <v>0.31902399999999997</v>
      </c>
      <c r="P165" s="150">
        <f t="shared" si="19"/>
        <v>0.30218035703221191</v>
      </c>
      <c r="Q165" s="150">
        <f t="shared" si="19"/>
        <v>0.28275399556207392</v>
      </c>
      <c r="R165" s="151">
        <v>16.98</v>
      </c>
      <c r="U165" s="5"/>
    </row>
    <row r="166" spans="11:23" ht="18" customHeight="1">
      <c r="K166" s="148">
        <v>0</v>
      </c>
      <c r="L166" s="149">
        <v>50</v>
      </c>
      <c r="M166" s="150">
        <f t="shared" si="18"/>
        <v>0.21499516354012507</v>
      </c>
      <c r="N166" s="150">
        <f t="shared" si="18"/>
        <v>0.2172232475428843</v>
      </c>
      <c r="O166" s="150">
        <v>0.21240999999999999</v>
      </c>
      <c r="P166" s="150">
        <f t="shared" si="19"/>
        <v>0.20132206521149404</v>
      </c>
      <c r="Q166" s="150">
        <f t="shared" si="19"/>
        <v>0.18898558976150834</v>
      </c>
      <c r="R166" s="151">
        <v>16.75</v>
      </c>
      <c r="U166" s="5"/>
    </row>
    <row r="167" spans="11:23" ht="18" customHeight="1">
      <c r="K167" s="148">
        <v>-3</v>
      </c>
      <c r="L167" s="149">
        <v>50</v>
      </c>
      <c r="M167" s="150">
        <f t="shared" si="18"/>
        <v>0.13989217339538726</v>
      </c>
      <c r="N167" s="150">
        <f t="shared" si="18"/>
        <v>0.14285433292007207</v>
      </c>
      <c r="O167" s="150">
        <v>0.14063500000000001</v>
      </c>
      <c r="P167" s="150">
        <f t="shared" si="19"/>
        <v>0.13295155387329843</v>
      </c>
      <c r="Q167" s="150">
        <f t="shared" si="19"/>
        <v>0.12367827449216676</v>
      </c>
      <c r="R167" s="151">
        <v>15.25</v>
      </c>
      <c r="U167" s="5"/>
    </row>
    <row r="168" spans="11:23" ht="18" customHeight="1">
      <c r="K168" s="148">
        <v>-8</v>
      </c>
      <c r="L168" s="149">
        <v>50</v>
      </c>
      <c r="M168" s="150">
        <f t="shared" si="18"/>
        <v>6.4686646700731695E-2</v>
      </c>
      <c r="N168" s="150">
        <f t="shared" si="18"/>
        <v>6.7047843465663989E-2</v>
      </c>
      <c r="O168" s="150">
        <v>6.7093E-2</v>
      </c>
      <c r="P168" s="150">
        <f t="shared" si="19"/>
        <v>6.2629587393305999E-2</v>
      </c>
      <c r="Q168" s="150">
        <f t="shared" si="19"/>
        <v>5.6271478027319792E-2</v>
      </c>
      <c r="R168" s="151">
        <v>13.68</v>
      </c>
      <c r="U168" s="5"/>
    </row>
    <row r="169" spans="11:23" ht="18" customHeight="1">
      <c r="K169" s="148">
        <v>-12</v>
      </c>
      <c r="L169" s="149">
        <v>50</v>
      </c>
      <c r="M169" s="150">
        <f t="shared" si="18"/>
        <v>3.1777120742168187E-2</v>
      </c>
      <c r="N169" s="150">
        <f t="shared" si="18"/>
        <v>3.4507397728640747E-2</v>
      </c>
      <c r="O169" s="150">
        <v>3.4217999999999998E-2</v>
      </c>
      <c r="P169" s="150">
        <f t="shared" si="19"/>
        <v>3.0718950416291989E-2</v>
      </c>
      <c r="Q169" s="150">
        <f t="shared" si="19"/>
        <v>2.8136759420629709E-2</v>
      </c>
      <c r="R169" s="151">
        <v>12.85</v>
      </c>
      <c r="U169" s="5"/>
    </row>
    <row r="170" spans="11:23" ht="18" customHeight="1">
      <c r="K170" s="148">
        <v>-17</v>
      </c>
      <c r="L170" s="149">
        <v>50</v>
      </c>
      <c r="M170" s="150">
        <f t="shared" si="18"/>
        <v>1.2635933675785232E-2</v>
      </c>
      <c r="N170" s="150">
        <f t="shared" si="18"/>
        <v>1.4226935838445044E-2</v>
      </c>
      <c r="O170" s="150">
        <v>1.3965E-2</v>
      </c>
      <c r="P170" s="150">
        <f t="shared" si="19"/>
        <v>1.2415868672900581E-2</v>
      </c>
      <c r="Q170" s="150">
        <f t="shared" si="19"/>
        <v>1.133910362822821E-2</v>
      </c>
      <c r="R170" s="151">
        <v>13.63</v>
      </c>
      <c r="U170" s="5"/>
    </row>
    <row r="171" spans="11:23" ht="18" customHeight="1" thickBot="1">
      <c r="K171" s="148">
        <v>-20</v>
      </c>
      <c r="L171" s="149">
        <v>50</v>
      </c>
      <c r="M171" s="150">
        <f t="shared" si="18"/>
        <v>7.8515110564786449E-3</v>
      </c>
      <c r="N171" s="150">
        <f t="shared" si="18"/>
        <v>8.6445634431940362E-3</v>
      </c>
      <c r="O171" s="150">
        <v>8.4139999999999996E-3</v>
      </c>
      <c r="P171" s="150">
        <f t="shared" si="19"/>
        <v>7.3976056723793144E-3</v>
      </c>
      <c r="Q171" s="150">
        <f t="shared" si="19"/>
        <v>7.4579858544433705E-3</v>
      </c>
      <c r="R171" s="151">
        <v>12.18</v>
      </c>
      <c r="U171" s="5"/>
    </row>
    <row r="172" spans="11:23" ht="40.5" customHeight="1">
      <c r="K172" s="153"/>
      <c r="L172" s="149"/>
      <c r="M172" s="156" t="s">
        <v>39</v>
      </c>
      <c r="N172" s="156" t="s">
        <v>40</v>
      </c>
      <c r="O172" s="157" t="s">
        <v>41</v>
      </c>
      <c r="P172" s="156" t="s">
        <v>42</v>
      </c>
      <c r="Q172" s="156" t="s">
        <v>43</v>
      </c>
      <c r="R172" s="158" t="s">
        <v>44</v>
      </c>
      <c r="S172" s="56" t="s">
        <v>45</v>
      </c>
      <c r="T172" s="41" t="s">
        <v>46</v>
      </c>
      <c r="U172" s="41" t="s">
        <v>47</v>
      </c>
      <c r="V172" s="41" t="s">
        <v>48</v>
      </c>
      <c r="W172" s="42" t="s">
        <v>49</v>
      </c>
    </row>
    <row r="173" spans="11:23" ht="18" customHeight="1">
      <c r="K173" s="148">
        <v>18</v>
      </c>
      <c r="L173" s="149">
        <v>20</v>
      </c>
      <c r="M173" s="150">
        <f t="shared" ref="M173:N186" si="20">$O51* 10^(M51/$R51)</f>
        <v>1.7098558145513751</v>
      </c>
      <c r="N173" s="150">
        <f t="shared" si="20"/>
        <v>1.6428843974229104</v>
      </c>
      <c r="O173" s="150">
        <v>1.546</v>
      </c>
      <c r="P173" s="150">
        <f t="shared" ref="P173:Q186" si="21">$O51* 10^(P51/$R51)</f>
        <v>1.4431723024255867</v>
      </c>
      <c r="Q173" s="150">
        <f t="shared" si="21"/>
        <v>1.3155301136775761</v>
      </c>
      <c r="R173" s="151">
        <v>25.76</v>
      </c>
      <c r="S173" s="5">
        <f t="shared" ref="S173:S186" si="22">$L173*((M128/M173)-1)</f>
        <v>0.63684123052950792</v>
      </c>
      <c r="T173" s="5">
        <f>$L173*((N128/N173)-1)</f>
        <v>0.6296520133455985</v>
      </c>
      <c r="U173" s="5">
        <f t="shared" ref="U173:U186" si="23">$L173*((O128/O173)-1)</f>
        <v>0.60025873221216219</v>
      </c>
      <c r="V173" s="5">
        <f t="shared" ref="V173:V186" si="24">$L173*((P128/P173)-1)</f>
        <v>0.59041238646488914</v>
      </c>
      <c r="W173" s="26">
        <f t="shared" ref="W173:W186" si="25">$L173*((Q128/Q173)-1)</f>
        <v>0.57582805156492611</v>
      </c>
    </row>
    <row r="174" spans="11:23" ht="18" customHeight="1">
      <c r="K174" s="148">
        <v>15</v>
      </c>
      <c r="L174" s="149">
        <v>20</v>
      </c>
      <c r="M174" s="150">
        <f t="shared" si="20"/>
        <v>1.3010061244865494</v>
      </c>
      <c r="N174" s="150">
        <f t="shared" si="20"/>
        <v>1.2523113141626891</v>
      </c>
      <c r="O174" s="150">
        <v>1.1821999999999999</v>
      </c>
      <c r="P174" s="150">
        <f t="shared" si="21"/>
        <v>1.0927784360128445</v>
      </c>
      <c r="Q174" s="150">
        <f t="shared" si="21"/>
        <v>1.0424057858515887</v>
      </c>
      <c r="R174" s="151">
        <v>23.42</v>
      </c>
      <c r="S174" s="5">
        <f t="shared" si="22"/>
        <v>0.85312076860126318</v>
      </c>
      <c r="T174" s="5">
        <f t="shared" ref="T174:T186" si="26">$L174*((N129/N174)-1)</f>
        <v>0.79297953767683449</v>
      </c>
      <c r="U174" s="5">
        <f t="shared" si="23"/>
        <v>0.71223143292167279</v>
      </c>
      <c r="V174" s="5">
        <f t="shared" si="24"/>
        <v>0.6892458472496088</v>
      </c>
      <c r="W174" s="26">
        <f t="shared" si="25"/>
        <v>0.63180029427936546</v>
      </c>
    </row>
    <row r="175" spans="11:23" ht="18" customHeight="1">
      <c r="K175" s="148">
        <v>13</v>
      </c>
      <c r="L175" s="149">
        <v>20</v>
      </c>
      <c r="M175" s="150">
        <f t="shared" si="20"/>
        <v>1.0577771883636524</v>
      </c>
      <c r="N175" s="150">
        <f t="shared" si="20"/>
        <v>1.0254828773551929</v>
      </c>
      <c r="O175" s="150">
        <v>0.97109999999999996</v>
      </c>
      <c r="P175" s="150">
        <f t="shared" si="21"/>
        <v>0.90762015348344172</v>
      </c>
      <c r="Q175" s="150">
        <f t="shared" si="21"/>
        <v>0.85913828219539135</v>
      </c>
      <c r="R175" s="151">
        <v>22.65</v>
      </c>
      <c r="S175" s="5">
        <f t="shared" si="22"/>
        <v>1.0613054396615862</v>
      </c>
      <c r="T175" s="5">
        <f t="shared" si="26"/>
        <v>0.94662994502747733</v>
      </c>
      <c r="U175" s="5">
        <f t="shared" si="23"/>
        <v>0.80712593965605706</v>
      </c>
      <c r="V175" s="5">
        <f t="shared" si="24"/>
        <v>0.72725910046318454</v>
      </c>
      <c r="W175" s="26">
        <f t="shared" si="25"/>
        <v>0.69552739139618236</v>
      </c>
    </row>
    <row r="176" spans="11:23" ht="18" customHeight="1">
      <c r="K176" s="148">
        <v>12</v>
      </c>
      <c r="L176" s="149">
        <v>20</v>
      </c>
      <c r="M176" s="150">
        <f t="shared" si="20"/>
        <v>0.951062825851962</v>
      </c>
      <c r="N176" s="150">
        <f t="shared" si="20"/>
        <v>0.92798323222352286</v>
      </c>
      <c r="O176" s="150">
        <v>0.87725900000000001</v>
      </c>
      <c r="P176" s="150">
        <f t="shared" si="21"/>
        <v>0.82586149421417854</v>
      </c>
      <c r="Q176" s="150">
        <f t="shared" si="21"/>
        <v>0.78112576108351461</v>
      </c>
      <c r="R176" s="151">
        <v>22.12</v>
      </c>
      <c r="S176" s="5">
        <f t="shared" si="22"/>
        <v>1.1557113880659786</v>
      </c>
      <c r="T176" s="5">
        <f t="shared" si="26"/>
        <v>0.97539398865980509</v>
      </c>
      <c r="U176" s="5">
        <f t="shared" si="23"/>
        <v>0.86524048200132597</v>
      </c>
      <c r="V176" s="5">
        <f t="shared" si="24"/>
        <v>0.72189813749292675</v>
      </c>
      <c r="W176" s="26">
        <f t="shared" si="25"/>
        <v>0.6904648726110274</v>
      </c>
    </row>
    <row r="177" spans="11:23" ht="18" customHeight="1">
      <c r="K177" s="148">
        <v>9</v>
      </c>
      <c r="L177" s="149">
        <v>20</v>
      </c>
      <c r="M177" s="150">
        <f t="shared" si="20"/>
        <v>0.67692713042737185</v>
      </c>
      <c r="N177" s="150">
        <f t="shared" si="20"/>
        <v>0.6669275099784987</v>
      </c>
      <c r="O177" s="150">
        <v>0.64192000000000005</v>
      </c>
      <c r="P177" s="150">
        <f t="shared" si="21"/>
        <v>0.60094622623473337</v>
      </c>
      <c r="Q177" s="150">
        <f t="shared" si="21"/>
        <v>0.57047938546674948</v>
      </c>
      <c r="R177" s="151">
        <v>19.34</v>
      </c>
      <c r="S177" s="5">
        <f t="shared" si="22"/>
        <v>1.5657725020781399</v>
      </c>
      <c r="T177" s="5">
        <f t="shared" si="26"/>
        <v>1.2591846349115166</v>
      </c>
      <c r="U177" s="5">
        <f t="shared" si="23"/>
        <v>1.0228065802592212</v>
      </c>
      <c r="V177" s="5">
        <f t="shared" si="24"/>
        <v>0.83553521953485532</v>
      </c>
      <c r="W177" s="26">
        <f t="shared" si="25"/>
        <v>0.77977875184344292</v>
      </c>
    </row>
    <row r="178" spans="11:23" ht="18" customHeight="1">
      <c r="K178" s="148">
        <v>7</v>
      </c>
      <c r="L178" s="149">
        <v>20</v>
      </c>
      <c r="M178" s="150">
        <f t="shared" si="20"/>
        <v>0.52797392686249645</v>
      </c>
      <c r="N178" s="150">
        <f t="shared" si="20"/>
        <v>0.52204634393555527</v>
      </c>
      <c r="O178" s="150">
        <v>0.50587000000000004</v>
      </c>
      <c r="P178" s="150">
        <f t="shared" si="21"/>
        <v>0.47968726842734022</v>
      </c>
      <c r="Q178" s="150">
        <f t="shared" si="21"/>
        <v>0.45366814008991252</v>
      </c>
      <c r="R178" s="151">
        <v>20.190000000000001</v>
      </c>
      <c r="S178" s="5">
        <f t="shared" si="22"/>
        <v>1.9740654413355019</v>
      </c>
      <c r="T178" s="5">
        <f t="shared" si="26"/>
        <v>1.5430943740114245</v>
      </c>
      <c r="U178" s="5">
        <f t="shared" si="23"/>
        <v>1.1789985569415062</v>
      </c>
      <c r="V178" s="5">
        <f t="shared" si="24"/>
        <v>0.95117459463129883</v>
      </c>
      <c r="W178" s="26">
        <f t="shared" si="25"/>
        <v>0.84909895916936318</v>
      </c>
    </row>
    <row r="179" spans="11:23" ht="18" customHeight="1">
      <c r="K179" s="148">
        <v>6</v>
      </c>
      <c r="L179" s="149">
        <v>20</v>
      </c>
      <c r="M179" s="150">
        <f t="shared" si="20"/>
        <v>0.46322421369090472</v>
      </c>
      <c r="N179" s="150">
        <f t="shared" si="20"/>
        <v>0.45921332038555784</v>
      </c>
      <c r="O179" s="150">
        <v>0.45135399999999998</v>
      </c>
      <c r="P179" s="150">
        <f t="shared" si="21"/>
        <v>0.4246425374370319</v>
      </c>
      <c r="Q179" s="150">
        <f t="shared" si="21"/>
        <v>0.40368190240018009</v>
      </c>
      <c r="R179" s="151">
        <v>17.739999999999998</v>
      </c>
      <c r="S179" s="5">
        <f t="shared" si="22"/>
        <v>2.2003019848091654</v>
      </c>
      <c r="T179" s="5">
        <f t="shared" si="26"/>
        <v>1.7037069445363606</v>
      </c>
      <c r="U179" s="5">
        <f t="shared" si="23"/>
        <v>1.2591447068154915</v>
      </c>
      <c r="V179" s="5">
        <f t="shared" si="24"/>
        <v>1.0075175156756</v>
      </c>
      <c r="W179" s="26">
        <f t="shared" si="25"/>
        <v>0.86606525496725428</v>
      </c>
    </row>
    <row r="180" spans="11:23" ht="18" customHeight="1">
      <c r="K180" s="148">
        <v>3</v>
      </c>
      <c r="L180" s="149">
        <v>20</v>
      </c>
      <c r="M180" s="150">
        <f t="shared" si="20"/>
        <v>0.30568538893902553</v>
      </c>
      <c r="N180" s="150">
        <f t="shared" si="20"/>
        <v>0.31020219977117747</v>
      </c>
      <c r="O180" s="150">
        <v>0.30576999999999999</v>
      </c>
      <c r="P180" s="150">
        <f t="shared" si="21"/>
        <v>0.29240434082420474</v>
      </c>
      <c r="Q180" s="150">
        <f t="shared" si="21"/>
        <v>0.27505612196911422</v>
      </c>
      <c r="R180" s="151">
        <v>16.64</v>
      </c>
      <c r="S180" s="5">
        <f t="shared" si="22"/>
        <v>3.0787724033982311</v>
      </c>
      <c r="T180" s="5">
        <f t="shared" si="26"/>
        <v>2.2508330774265772</v>
      </c>
      <c r="U180" s="5">
        <f t="shared" si="23"/>
        <v>1.549923144847436</v>
      </c>
      <c r="V180" s="5">
        <f t="shared" si="24"/>
        <v>1.1464092430763362</v>
      </c>
      <c r="W180" s="26">
        <f t="shared" si="25"/>
        <v>0.95481293712912585</v>
      </c>
    </row>
    <row r="181" spans="11:23" ht="18" customHeight="1">
      <c r="K181" s="148">
        <v>0</v>
      </c>
      <c r="L181" s="149">
        <v>20</v>
      </c>
      <c r="M181" s="150">
        <f t="shared" si="20"/>
        <v>0.1959178032443625</v>
      </c>
      <c r="N181" s="150">
        <f t="shared" si="20"/>
        <v>0.20195409795898137</v>
      </c>
      <c r="O181" s="150">
        <v>0.20186899999999999</v>
      </c>
      <c r="P181" s="150">
        <f t="shared" si="21"/>
        <v>0.19416416638790368</v>
      </c>
      <c r="Q181" s="150">
        <f t="shared" si="21"/>
        <v>0.18329635525282872</v>
      </c>
      <c r="R181" s="151">
        <v>16.39</v>
      </c>
      <c r="S181" s="5">
        <f t="shared" si="22"/>
        <v>4.4079029477736142</v>
      </c>
      <c r="T181" s="5">
        <f t="shared" si="26"/>
        <v>2.9541895786255434</v>
      </c>
      <c r="U181" s="5">
        <f t="shared" si="23"/>
        <v>1.8800311092837463</v>
      </c>
      <c r="V181" s="5">
        <f t="shared" si="24"/>
        <v>1.2974095945632946</v>
      </c>
      <c r="W181" s="26">
        <f t="shared" si="25"/>
        <v>1.0500949941747439</v>
      </c>
    </row>
    <row r="182" spans="11:23" ht="18" customHeight="1">
      <c r="K182" s="148">
        <v>-3</v>
      </c>
      <c r="L182" s="149">
        <v>20</v>
      </c>
      <c r="M182" s="150">
        <f t="shared" si="20"/>
        <v>0.12377948849573654</v>
      </c>
      <c r="N182" s="150">
        <f t="shared" si="20"/>
        <v>0.13051147071191718</v>
      </c>
      <c r="O182" s="150">
        <v>0.13244900000000001</v>
      </c>
      <c r="P182" s="150">
        <f t="shared" si="21"/>
        <v>0.12762879934925528</v>
      </c>
      <c r="Q182" s="150">
        <f t="shared" si="21"/>
        <v>0.11968746914504512</v>
      </c>
      <c r="R182" s="151">
        <v>14.9</v>
      </c>
      <c r="S182" s="5">
        <f t="shared" si="22"/>
        <v>6.1495018390182432</v>
      </c>
      <c r="T182" s="5">
        <f t="shared" si="26"/>
        <v>3.7718740049770361</v>
      </c>
      <c r="U182" s="5">
        <f t="shared" si="23"/>
        <v>2.2414665267385914</v>
      </c>
      <c r="V182" s="5">
        <f t="shared" si="24"/>
        <v>1.4567242416692094</v>
      </c>
      <c r="W182" s="26">
        <f t="shared" si="25"/>
        <v>1.1477135786950621</v>
      </c>
    </row>
    <row r="183" spans="11:23" ht="18" customHeight="1">
      <c r="K183" s="148">
        <v>-8</v>
      </c>
      <c r="L183" s="149">
        <v>20</v>
      </c>
      <c r="M183" s="150">
        <f t="shared" si="20"/>
        <v>5.3595791988067389E-2</v>
      </c>
      <c r="N183" s="150">
        <f t="shared" si="20"/>
        <v>5.8855020036729093E-2</v>
      </c>
      <c r="O183" s="150">
        <v>6.2236E-2</v>
      </c>
      <c r="P183" s="150">
        <f t="shared" si="21"/>
        <v>5.9746394451320503E-2</v>
      </c>
      <c r="Q183" s="150">
        <f t="shared" si="21"/>
        <v>5.4305380258743242E-2</v>
      </c>
      <c r="R183" s="151">
        <v>13.48</v>
      </c>
      <c r="S183" s="5">
        <f t="shared" si="22"/>
        <v>9.9359941072298383</v>
      </c>
      <c r="T183" s="5">
        <f t="shared" si="26"/>
        <v>5.6311488425723866</v>
      </c>
      <c r="U183" s="5">
        <f t="shared" si="23"/>
        <v>2.8276238832829881</v>
      </c>
      <c r="V183" s="5">
        <f t="shared" si="24"/>
        <v>1.6713901734827674</v>
      </c>
      <c r="W183" s="26">
        <f t="shared" si="25"/>
        <v>1.2427577362420239</v>
      </c>
    </row>
    <row r="184" spans="11:23" ht="18" customHeight="1">
      <c r="K184" s="148">
        <v>-12</v>
      </c>
      <c r="L184" s="149">
        <v>20</v>
      </c>
      <c r="M184" s="150">
        <f t="shared" si="20"/>
        <v>2.4686503149265921E-2</v>
      </c>
      <c r="N184" s="150">
        <f t="shared" si="20"/>
        <v>2.9369143920898462E-2</v>
      </c>
      <c r="O184" s="150">
        <v>3.1423E-2</v>
      </c>
      <c r="P184" s="150">
        <f t="shared" si="21"/>
        <v>2.9199775575494948E-2</v>
      </c>
      <c r="Q184" s="150">
        <f t="shared" si="21"/>
        <v>2.7128943978751447E-2</v>
      </c>
      <c r="R184" s="151">
        <v>12.74</v>
      </c>
      <c r="S184" s="5">
        <f t="shared" si="22"/>
        <v>13.710138624655194</v>
      </c>
      <c r="T184" s="5">
        <f t="shared" si="26"/>
        <v>7.0417305981211342</v>
      </c>
      <c r="U184" s="5">
        <f t="shared" si="23"/>
        <v>3.2129332017948675</v>
      </c>
      <c r="V184" s="5">
        <f t="shared" si="24"/>
        <v>1.8059062773948709</v>
      </c>
      <c r="W184" s="26">
        <f t="shared" si="25"/>
        <v>1.2735845159008097</v>
      </c>
    </row>
    <row r="185" spans="11:23" ht="18" customHeight="1">
      <c r="K185" s="148">
        <v>-17</v>
      </c>
      <c r="L185" s="149">
        <v>20</v>
      </c>
      <c r="M185" s="150">
        <f t="shared" si="20"/>
        <v>9.0990794001090426E-3</v>
      </c>
      <c r="N185" s="150">
        <f t="shared" si="20"/>
        <v>1.1812333524893491E-2</v>
      </c>
      <c r="O185" s="150">
        <v>1.2728E-2</v>
      </c>
      <c r="P185" s="150">
        <f t="shared" si="21"/>
        <v>1.1792307113464387E-2</v>
      </c>
      <c r="Q185" s="150">
        <f t="shared" si="21"/>
        <v>1.0925401245935166E-2</v>
      </c>
      <c r="R185" s="151">
        <v>13.57</v>
      </c>
      <c r="S185" s="5">
        <f t="shared" si="22"/>
        <v>18.939701749802651</v>
      </c>
      <c r="T185" s="5">
        <f t="shared" si="26"/>
        <v>8.1153245321850456</v>
      </c>
      <c r="U185" s="5">
        <f t="shared" si="23"/>
        <v>3.4915147705845362</v>
      </c>
      <c r="V185" s="5">
        <f t="shared" si="24"/>
        <v>1.8600292128770901</v>
      </c>
      <c r="W185" s="26">
        <f t="shared" si="25"/>
        <v>1.3105879720729341</v>
      </c>
    </row>
    <row r="186" spans="11:23" ht="18" customHeight="1" thickBot="1">
      <c r="K186" s="148">
        <v>-20</v>
      </c>
      <c r="L186" s="149">
        <v>20</v>
      </c>
      <c r="M186" s="150">
        <f t="shared" si="20"/>
        <v>5.5470993711297318E-3</v>
      </c>
      <c r="N186" s="150">
        <f t="shared" si="20"/>
        <v>7.1468615558413912E-3</v>
      </c>
      <c r="O186" s="150">
        <v>7.6490000000000004E-3</v>
      </c>
      <c r="P186" s="150">
        <f t="shared" si="21"/>
        <v>7.0152456263592568E-3</v>
      </c>
      <c r="Q186" s="150">
        <f t="shared" si="21"/>
        <v>7.176745744038252E-3</v>
      </c>
      <c r="R186" s="151">
        <v>12.14</v>
      </c>
      <c r="S186" s="5">
        <f t="shared" si="22"/>
        <v>20.051889775194446</v>
      </c>
      <c r="T186" s="5">
        <f t="shared" si="26"/>
        <v>8.2724503391051627</v>
      </c>
      <c r="U186" s="5">
        <f t="shared" si="23"/>
        <v>3.5769381618512242</v>
      </c>
      <c r="V186" s="5">
        <f t="shared" si="24"/>
        <v>1.8681508885065057</v>
      </c>
      <c r="W186" s="26">
        <f t="shared" si="25"/>
        <v>1.3157633911144151</v>
      </c>
    </row>
    <row r="187" spans="11:23" ht="27.75" customHeight="1">
      <c r="K187" s="153"/>
      <c r="L187" s="149"/>
      <c r="M187" s="149"/>
      <c r="N187" s="149"/>
      <c r="O187" s="154"/>
      <c r="P187" s="149"/>
      <c r="Q187" s="149"/>
      <c r="R187" s="155"/>
      <c r="S187" s="56" t="s">
        <v>50</v>
      </c>
      <c r="T187" s="41" t="s">
        <v>51</v>
      </c>
      <c r="U187" s="41" t="s">
        <v>52</v>
      </c>
      <c r="V187" s="41" t="s">
        <v>53</v>
      </c>
      <c r="W187" s="42" t="s">
        <v>54</v>
      </c>
    </row>
    <row r="188" spans="11:23" ht="18" customHeight="1">
      <c r="K188" s="148">
        <v>18</v>
      </c>
      <c r="L188" s="149">
        <v>10</v>
      </c>
      <c r="M188" s="150">
        <f t="shared" ref="M188:N201" si="27">$O66* 10^(M66/$R66)</f>
        <v>1.6575787711399457</v>
      </c>
      <c r="N188" s="150">
        <f t="shared" si="27"/>
        <v>1.5951719687107004</v>
      </c>
      <c r="O188" s="150">
        <v>1.5017</v>
      </c>
      <c r="P188" s="150">
        <f t="shared" ref="P188:Q201" si="28">$O66* 10^(P66/$R66)</f>
        <v>1.4039682041854404</v>
      </c>
      <c r="Q188" s="150">
        <f t="shared" si="28"/>
        <v>1.2807602991435165</v>
      </c>
      <c r="R188" s="151">
        <v>25.32</v>
      </c>
      <c r="S188" s="5">
        <f t="shared" ref="S188:S201" si="29">$L188*((M128/M188)-1)</f>
        <v>0.64384498231949028</v>
      </c>
      <c r="T188" s="5">
        <f>$L188*((N128/N188)-1)</f>
        <v>0.62334785270298232</v>
      </c>
      <c r="U188" s="5">
        <f t="shared" ref="U188:U201" si="30">$L188*((O128/O188)-1)</f>
        <v>0.6039821535592993</v>
      </c>
      <c r="V188" s="5">
        <f t="shared" ref="V188:V201" si="31">$L188*((P128/P188)-1)</f>
        <v>0.58268725854347725</v>
      </c>
      <c r="W188" s="26">
        <f t="shared" ref="W188:W201" si="32">$L188*((Q128/Q188)-1)</f>
        <v>0.56720817852752958</v>
      </c>
    </row>
    <row r="189" spans="11:23" ht="18" customHeight="1">
      <c r="K189" s="148">
        <v>15</v>
      </c>
      <c r="L189" s="149">
        <v>10</v>
      </c>
      <c r="M189" s="150">
        <f t="shared" si="27"/>
        <v>1.2517865132344292</v>
      </c>
      <c r="N189" s="150">
        <f t="shared" si="27"/>
        <v>1.2077568579728464</v>
      </c>
      <c r="O189" s="150">
        <v>1.1431199999999999</v>
      </c>
      <c r="P189" s="150">
        <f t="shared" si="28"/>
        <v>1.0609487733523169</v>
      </c>
      <c r="Q189" s="150">
        <f t="shared" si="28"/>
        <v>1.0122916303746199</v>
      </c>
      <c r="R189" s="151">
        <v>23.15</v>
      </c>
      <c r="S189" s="5">
        <f t="shared" si="29"/>
        <v>0.83652745407359452</v>
      </c>
      <c r="T189" s="5">
        <f t="shared" ref="T189:T201" si="33">$L189*((N129/N189)-1)</f>
        <v>0.78001890789984429</v>
      </c>
      <c r="U189" s="5">
        <f t="shared" si="30"/>
        <v>0.71016166281755222</v>
      </c>
      <c r="V189" s="5">
        <f t="shared" si="31"/>
        <v>0.65497330648913943</v>
      </c>
      <c r="W189" s="26">
        <f t="shared" si="32"/>
        <v>0.62278268137627046</v>
      </c>
    </row>
    <row r="190" spans="11:23" ht="18" customHeight="1">
      <c r="K190" s="148">
        <v>13</v>
      </c>
      <c r="L190" s="149">
        <v>10</v>
      </c>
      <c r="M190" s="150">
        <f t="shared" si="27"/>
        <v>1.0114606267307797</v>
      </c>
      <c r="N190" s="150">
        <f t="shared" si="27"/>
        <v>0.986387176649408</v>
      </c>
      <c r="O190" s="150">
        <v>0.93689800000000001</v>
      </c>
      <c r="P190" s="150">
        <f t="shared" si="28"/>
        <v>0.87809486588962693</v>
      </c>
      <c r="Q190" s="150">
        <f t="shared" si="28"/>
        <v>0.83403894853619631</v>
      </c>
      <c r="R190" s="151">
        <v>21.74</v>
      </c>
      <c r="S190" s="5">
        <f t="shared" si="29"/>
        <v>1.012869835200767</v>
      </c>
      <c r="T190" s="5">
        <f t="shared" si="33"/>
        <v>0.88842741239123946</v>
      </c>
      <c r="U190" s="5">
        <f t="shared" si="30"/>
        <v>0.78335101579894317</v>
      </c>
      <c r="V190" s="5">
        <f t="shared" si="31"/>
        <v>0.7120988954843277</v>
      </c>
      <c r="W190" s="26">
        <f t="shared" si="32"/>
        <v>0.65916638747965051</v>
      </c>
    </row>
    <row r="191" spans="11:23" ht="18" customHeight="1">
      <c r="K191" s="148">
        <v>12</v>
      </c>
      <c r="L191" s="149">
        <v>10</v>
      </c>
      <c r="M191" s="150">
        <f t="shared" si="27"/>
        <v>0.90742301578895113</v>
      </c>
      <c r="N191" s="150">
        <f t="shared" si="27"/>
        <v>0.88828479573811869</v>
      </c>
      <c r="O191" s="150">
        <v>0.84272000000000002</v>
      </c>
      <c r="P191" s="150">
        <f t="shared" si="28"/>
        <v>0.79688134202269167</v>
      </c>
      <c r="Q191" s="150">
        <f t="shared" si="28"/>
        <v>0.75616468358312827</v>
      </c>
      <c r="R191" s="151">
        <v>21.82</v>
      </c>
      <c r="S191" s="5">
        <f t="shared" si="29"/>
        <v>1.0865661910443403</v>
      </c>
      <c r="T191" s="5">
        <f t="shared" si="33"/>
        <v>0.95640384938938672</v>
      </c>
      <c r="U191" s="5">
        <f t="shared" si="30"/>
        <v>0.86020267704575604</v>
      </c>
      <c r="V191" s="5">
        <f t="shared" si="31"/>
        <v>0.73774529301038561</v>
      </c>
      <c r="W191" s="26">
        <f t="shared" si="32"/>
        <v>0.68672967124447482</v>
      </c>
    </row>
    <row r="192" spans="11:23" ht="18" customHeight="1">
      <c r="K192" s="148">
        <v>9</v>
      </c>
      <c r="L192" s="149">
        <v>10</v>
      </c>
      <c r="M192" s="150">
        <f t="shared" si="27"/>
        <v>0.6390053928255317</v>
      </c>
      <c r="N192" s="150">
        <f t="shared" si="27"/>
        <v>0.63366189078551627</v>
      </c>
      <c r="O192" s="150">
        <v>0.61399999999999999</v>
      </c>
      <c r="P192" s="150">
        <f t="shared" si="28"/>
        <v>0.57775180348803679</v>
      </c>
      <c r="Q192" s="150">
        <f t="shared" si="28"/>
        <v>0.55030018749544418</v>
      </c>
      <c r="R192" s="151">
        <v>18.920000000000002</v>
      </c>
      <c r="S192" s="5">
        <f t="shared" si="29"/>
        <v>1.4227960039040766</v>
      </c>
      <c r="T192" s="5">
        <f t="shared" si="33"/>
        <v>1.1876185698642727</v>
      </c>
      <c r="U192" s="5">
        <f t="shared" si="30"/>
        <v>0.98938110749185793</v>
      </c>
      <c r="V192" s="5">
        <f t="shared" si="31"/>
        <v>0.83599928738224527</v>
      </c>
      <c r="W192" s="26">
        <f t="shared" si="32"/>
        <v>0.77088076822144025</v>
      </c>
    </row>
    <row r="193" spans="11:23" ht="18" customHeight="1">
      <c r="K193" s="148">
        <v>7</v>
      </c>
      <c r="L193" s="149">
        <v>10</v>
      </c>
      <c r="M193" s="150">
        <f t="shared" si="27"/>
        <v>0.49472711935049268</v>
      </c>
      <c r="N193" s="150">
        <f t="shared" si="27"/>
        <v>0.49242767190917347</v>
      </c>
      <c r="O193" s="150">
        <v>0.48137000000000002</v>
      </c>
      <c r="P193" s="150">
        <f t="shared" si="28"/>
        <v>0.45956559510768769</v>
      </c>
      <c r="Q193" s="150">
        <f t="shared" si="28"/>
        <v>0.43655702700482191</v>
      </c>
      <c r="R193" s="151">
        <v>19.77</v>
      </c>
      <c r="S193" s="5">
        <f t="shared" si="29"/>
        <v>1.7253867499995046</v>
      </c>
      <c r="T193" s="5">
        <f t="shared" si="33"/>
        <v>1.419437103735377</v>
      </c>
      <c r="U193" s="5">
        <f t="shared" si="30"/>
        <v>1.128466668051602</v>
      </c>
      <c r="V193" s="5">
        <f t="shared" si="31"/>
        <v>0.93425162656922245</v>
      </c>
      <c r="W193" s="26">
        <f t="shared" si="32"/>
        <v>0.83314591480899924</v>
      </c>
    </row>
    <row r="194" spans="11:23" ht="18" customHeight="1">
      <c r="K194" s="148">
        <v>6</v>
      </c>
      <c r="L194" s="149">
        <v>10</v>
      </c>
      <c r="M194" s="150">
        <f t="shared" si="27"/>
        <v>0.43240583862013654</v>
      </c>
      <c r="N194" s="150">
        <f t="shared" si="27"/>
        <v>0.43160271471615497</v>
      </c>
      <c r="O194" s="150">
        <v>0.42846200000000001</v>
      </c>
      <c r="P194" s="150">
        <f t="shared" si="28"/>
        <v>0.40635155878313306</v>
      </c>
      <c r="Q194" s="150">
        <f t="shared" si="28"/>
        <v>0.38800089368908597</v>
      </c>
      <c r="R194" s="151">
        <v>17.34</v>
      </c>
      <c r="S194" s="5">
        <f t="shared" si="29"/>
        <v>1.8912795713288011</v>
      </c>
      <c r="T194" s="5">
        <f t="shared" si="33"/>
        <v>1.5460711794065318</v>
      </c>
      <c r="U194" s="5">
        <f t="shared" si="30"/>
        <v>1.1974924263995401</v>
      </c>
      <c r="V194" s="5">
        <f t="shared" si="31"/>
        <v>0.97656124394281729</v>
      </c>
      <c r="W194" s="26">
        <f t="shared" si="32"/>
        <v>0.85468236637777917</v>
      </c>
    </row>
    <row r="195" spans="11:23" ht="18" customHeight="1">
      <c r="K195" s="148">
        <v>3</v>
      </c>
      <c r="L195" s="149">
        <v>10</v>
      </c>
      <c r="M195" s="150">
        <f t="shared" si="27"/>
        <v>0.2814917999602668</v>
      </c>
      <c r="N195" s="150">
        <f t="shared" si="27"/>
        <v>0.28810569889052651</v>
      </c>
      <c r="O195" s="150">
        <v>0.28769800000000001</v>
      </c>
      <c r="P195" s="150">
        <f t="shared" si="28"/>
        <v>0.27824200723096859</v>
      </c>
      <c r="Q195" s="150">
        <f t="shared" si="28"/>
        <v>0.26329187531111642</v>
      </c>
      <c r="R195" s="151">
        <v>16.260000000000002</v>
      </c>
      <c r="S195" s="5">
        <f t="shared" si="29"/>
        <v>2.5311705693804298</v>
      </c>
      <c r="T195" s="5">
        <f t="shared" si="33"/>
        <v>1.9786894079830408</v>
      </c>
      <c r="U195" s="5">
        <f t="shared" si="30"/>
        <v>1.4518001515478018</v>
      </c>
      <c r="V195" s="5">
        <f t="shared" si="31"/>
        <v>1.1113737229257592</v>
      </c>
      <c r="W195" s="26">
        <f t="shared" si="32"/>
        <v>0.94555154097383465</v>
      </c>
    </row>
    <row r="196" spans="11:23" ht="18" customHeight="1">
      <c r="K196" s="148">
        <v>0</v>
      </c>
      <c r="L196" s="149">
        <v>10</v>
      </c>
      <c r="M196" s="150">
        <f t="shared" si="27"/>
        <v>0.17697119091593075</v>
      </c>
      <c r="N196" s="150">
        <f t="shared" si="27"/>
        <v>0.18483571246889713</v>
      </c>
      <c r="O196" s="150">
        <v>0.18812200000000001</v>
      </c>
      <c r="P196" s="150">
        <f t="shared" si="28"/>
        <v>0.18374424278819135</v>
      </c>
      <c r="Q196" s="150">
        <f t="shared" si="28"/>
        <v>0.17493783717811096</v>
      </c>
      <c r="R196" s="151">
        <v>15.94</v>
      </c>
      <c r="S196" s="5">
        <f t="shared" si="29"/>
        <v>3.510511803022911</v>
      </c>
      <c r="T196" s="5">
        <f t="shared" si="33"/>
        <v>2.5400351177017111</v>
      </c>
      <c r="U196" s="5">
        <f t="shared" si="30"/>
        <v>1.7394563102667426</v>
      </c>
      <c r="V196" s="5">
        <f t="shared" si="31"/>
        <v>1.2525805364060072</v>
      </c>
      <c r="W196" s="26">
        <f t="shared" si="32"/>
        <v>1.0279335574203241</v>
      </c>
    </row>
    <row r="197" spans="11:23" ht="18" customHeight="1">
      <c r="K197" s="148">
        <v>-3</v>
      </c>
      <c r="L197" s="149">
        <v>10</v>
      </c>
      <c r="M197" s="150">
        <f t="shared" si="27"/>
        <v>0.10864780997764048</v>
      </c>
      <c r="N197" s="150">
        <f t="shared" si="27"/>
        <v>0.11700946042031471</v>
      </c>
      <c r="O197" s="150">
        <v>0.121961</v>
      </c>
      <c r="P197" s="150">
        <f t="shared" si="28"/>
        <v>0.12006625829541094</v>
      </c>
      <c r="Q197" s="150">
        <f t="shared" si="28"/>
        <v>0.11387305618682225</v>
      </c>
      <c r="R197" s="151">
        <v>14.5</v>
      </c>
      <c r="S197" s="5">
        <f t="shared" si="29"/>
        <v>4.8957073442995398</v>
      </c>
      <c r="T197" s="5">
        <f t="shared" si="33"/>
        <v>3.2574845949349474</v>
      </c>
      <c r="U197" s="5">
        <f t="shared" si="30"/>
        <v>2.0770574199949166</v>
      </c>
      <c r="V197" s="5">
        <f t="shared" si="31"/>
        <v>1.40410300033881</v>
      </c>
      <c r="W197" s="26">
        <f t="shared" si="32"/>
        <v>1.1137629971295437</v>
      </c>
    </row>
    <row r="198" spans="11:23" ht="18" customHeight="1">
      <c r="K198" s="148">
        <v>-8</v>
      </c>
      <c r="L198" s="149">
        <v>10</v>
      </c>
      <c r="M198" s="150">
        <f t="shared" si="27"/>
        <v>4.1093352958802364E-2</v>
      </c>
      <c r="N198" s="150">
        <f t="shared" si="27"/>
        <v>4.7179832247226425E-2</v>
      </c>
      <c r="O198" s="150">
        <v>5.2609099999999999E-2</v>
      </c>
      <c r="P198" s="150">
        <f t="shared" si="28"/>
        <v>5.2233332682422473E-2</v>
      </c>
      <c r="Q198" s="150">
        <f t="shared" si="28"/>
        <v>4.8213840881414539E-2</v>
      </c>
      <c r="R198" s="151">
        <v>13.17</v>
      </c>
      <c r="S198" s="5">
        <f t="shared" si="29"/>
        <v>9.5219323516338115</v>
      </c>
      <c r="T198" s="5">
        <f t="shared" si="33"/>
        <v>5.9869345315727092</v>
      </c>
      <c r="U198" s="5">
        <f t="shared" si="30"/>
        <v>3.5024168822504098</v>
      </c>
      <c r="V198" s="5">
        <f t="shared" si="31"/>
        <v>2.3942639605790816</v>
      </c>
      <c r="W198" s="26">
        <f t="shared" si="32"/>
        <v>1.9633285330693351</v>
      </c>
    </row>
    <row r="199" spans="11:23" ht="18" customHeight="1">
      <c r="K199" s="148">
        <v>-12</v>
      </c>
      <c r="L199" s="149">
        <v>10</v>
      </c>
      <c r="M199" s="150">
        <f t="shared" si="27"/>
        <v>1.8691230707842444E-2</v>
      </c>
      <c r="N199" s="150">
        <f t="shared" si="27"/>
        <v>2.4090016710233104E-2</v>
      </c>
      <c r="O199" s="150">
        <v>2.7872999999999998E-2</v>
      </c>
      <c r="P199" s="150">
        <f t="shared" si="28"/>
        <v>2.7056732519062238E-2</v>
      </c>
      <c r="Q199" s="150">
        <f t="shared" si="28"/>
        <v>2.5607723142423246E-2</v>
      </c>
      <c r="R199" s="151">
        <v>12.55</v>
      </c>
      <c r="S199" s="5">
        <f t="shared" si="29"/>
        <v>12.261387073098771</v>
      </c>
      <c r="T199" s="5">
        <f t="shared" si="33"/>
        <v>6.4838507037859667</v>
      </c>
      <c r="U199" s="5">
        <f t="shared" si="30"/>
        <v>3.0847056291034347</v>
      </c>
      <c r="V199" s="5">
        <f t="shared" si="31"/>
        <v>1.7665274081342597</v>
      </c>
      <c r="W199" s="26">
        <f t="shared" si="32"/>
        <v>1.2686684276705629</v>
      </c>
    </row>
    <row r="200" spans="11:23" ht="18" customHeight="1">
      <c r="K200" s="148">
        <v>-17</v>
      </c>
      <c r="L200" s="149">
        <v>10</v>
      </c>
      <c r="M200" s="150">
        <f t="shared" si="27"/>
        <v>6.3432362679145529E-3</v>
      </c>
      <c r="N200" s="150">
        <f t="shared" si="27"/>
        <v>9.339865619983484E-3</v>
      </c>
      <c r="O200" s="150">
        <v>1.1139E-2</v>
      </c>
      <c r="P200" s="150">
        <f t="shared" si="28"/>
        <v>1.0888241078890717E-2</v>
      </c>
      <c r="Q200" s="150">
        <f t="shared" si="28"/>
        <v>1.0314859204252869E-2</v>
      </c>
      <c r="R200" s="151">
        <v>13.45</v>
      </c>
      <c r="S200" s="5">
        <f t="shared" si="29"/>
        <v>17.928601669011034</v>
      </c>
      <c r="T200" s="5">
        <f t="shared" si="33"/>
        <v>7.7790347338732442</v>
      </c>
      <c r="U200" s="5">
        <f t="shared" si="30"/>
        <v>3.4213125056109162</v>
      </c>
      <c r="V200" s="5">
        <f t="shared" si="31"/>
        <v>1.8375491560025337</v>
      </c>
      <c r="W200" s="26">
        <f t="shared" si="32"/>
        <v>1.2859865448139596</v>
      </c>
    </row>
    <row r="201" spans="11:23" ht="18" customHeight="1" thickBot="1">
      <c r="K201" s="159">
        <v>-20</v>
      </c>
      <c r="L201" s="161">
        <v>10</v>
      </c>
      <c r="M201" s="162">
        <f t="shared" si="27"/>
        <v>3.7884482270693506E-3</v>
      </c>
      <c r="N201" s="162">
        <f t="shared" si="27"/>
        <v>5.5979650038726443E-3</v>
      </c>
      <c r="O201" s="162">
        <v>6.6639999999999998E-3</v>
      </c>
      <c r="P201" s="162">
        <f t="shared" si="28"/>
        <v>6.4635035259208327E-3</v>
      </c>
      <c r="Q201" s="162">
        <f t="shared" si="28"/>
        <v>6.763985222202654E-3</v>
      </c>
      <c r="R201" s="160">
        <v>12.06</v>
      </c>
      <c r="S201" s="5">
        <f t="shared" si="29"/>
        <v>19.322271187061336</v>
      </c>
      <c r="T201" s="5">
        <f t="shared" si="33"/>
        <v>8.047566238642256</v>
      </c>
      <c r="U201" s="5">
        <f t="shared" si="30"/>
        <v>3.5309123649459795</v>
      </c>
      <c r="V201" s="5">
        <f t="shared" si="31"/>
        <v>1.8674376258891034</v>
      </c>
      <c r="W201" s="26">
        <f t="shared" si="32"/>
        <v>1.3082605278290638</v>
      </c>
    </row>
    <row r="202" spans="11:23" ht="27" customHeight="1" thickBot="1">
      <c r="K202" s="39"/>
      <c r="L202" s="40"/>
      <c r="M202" s="59" t="s">
        <v>39</v>
      </c>
      <c r="N202" s="60" t="s">
        <v>40</v>
      </c>
      <c r="O202" s="61" t="s">
        <v>41</v>
      </c>
      <c r="P202" s="60" t="s">
        <v>42</v>
      </c>
      <c r="Q202" s="62" t="s">
        <v>43</v>
      </c>
      <c r="R202" s="42" t="s">
        <v>55</v>
      </c>
      <c r="S202" s="56" t="s">
        <v>56</v>
      </c>
      <c r="T202" s="41" t="s">
        <v>57</v>
      </c>
      <c r="U202" s="41" t="s">
        <v>58</v>
      </c>
      <c r="V202" s="41" t="s">
        <v>59</v>
      </c>
      <c r="W202" s="42" t="s">
        <v>60</v>
      </c>
    </row>
    <row r="203" spans="11:23" ht="18" customHeight="1" thickTop="1">
      <c r="K203" s="43">
        <v>18</v>
      </c>
      <c r="L203" s="44">
        <v>5</v>
      </c>
      <c r="M203" s="45">
        <f t="shared" ref="M203:N216" si="34">$O81* 10^(M81/$R81)</f>
        <v>1.5608401058921824</v>
      </c>
      <c r="N203" s="45">
        <f t="shared" si="34"/>
        <v>1.5053710210132492</v>
      </c>
      <c r="O203" s="46">
        <v>1.4204000000000001</v>
      </c>
      <c r="P203" s="45">
        <f t="shared" ref="P203:Q216" si="35">$O81* 10^(P81/$R81)</f>
        <v>1.3306354953880253</v>
      </c>
      <c r="Q203" s="45">
        <f t="shared" si="35"/>
        <v>1.2144144362565408</v>
      </c>
      <c r="R203" s="48">
        <v>24.69</v>
      </c>
      <c r="S203" s="57">
        <f>$L203*((M128/M203)-1)</f>
        <v>0.65176773053009285</v>
      </c>
      <c r="T203" s="47">
        <f>$L203*((N128/N203)-1)</f>
        <v>0.62853491662427152</v>
      </c>
      <c r="U203" s="47">
        <f>$L203*((E$6/O203)-1)</f>
        <v>0.60546324978879129</v>
      </c>
      <c r="V203" s="47">
        <f>$L203*((P128/P203)-1)</f>
        <v>0.58295509075562801</v>
      </c>
      <c r="W203" s="48">
        <f>$L203*((Q128/Q203)-1)</f>
        <v>0.57225783216221182</v>
      </c>
    </row>
    <row r="204" spans="11:23" ht="18" customHeight="1">
      <c r="K204" s="43">
        <v>15</v>
      </c>
      <c r="L204" s="44">
        <v>5</v>
      </c>
      <c r="M204" s="45">
        <f t="shared" si="34"/>
        <v>1.1632473231712448</v>
      </c>
      <c r="N204" s="45">
        <f t="shared" si="34"/>
        <v>1.1299829321599979</v>
      </c>
      <c r="O204" s="46">
        <v>1.0737399999999999</v>
      </c>
      <c r="P204" s="45">
        <f t="shared" si="35"/>
        <v>0.99948697180028656</v>
      </c>
      <c r="Q204" s="45">
        <f t="shared" si="35"/>
        <v>0.95559925347815089</v>
      </c>
      <c r="R204" s="48">
        <v>22.46</v>
      </c>
      <c r="S204" s="57">
        <f t="shared" ref="S204:S216" si="36">$L204*((M129/M204)-1)</f>
        <v>0.8306684430285205</v>
      </c>
      <c r="T204" s="47">
        <f t="shared" ref="T204:T216" si="37">$L204*((N129/N204)-1)</f>
        <v>0.76099045151307609</v>
      </c>
      <c r="U204" s="47">
        <f>L204*((E$15/O204)-1)</f>
        <v>0.68107735578445516</v>
      </c>
      <c r="V204" s="47">
        <f t="shared" ref="V204:V216" si="38">$L204*((P129/P204)-1)</f>
        <v>0.65509165129974734</v>
      </c>
      <c r="W204" s="48">
        <f t="shared" ref="W204:W216" si="39">$L204*((Q129/Q204)-1)</f>
        <v>0.62649769791366272</v>
      </c>
    </row>
    <row r="205" spans="11:23" ht="18" customHeight="1">
      <c r="K205" s="43">
        <v>13</v>
      </c>
      <c r="L205" s="44">
        <v>5</v>
      </c>
      <c r="M205" s="45">
        <f t="shared" si="34"/>
        <v>0.93424125077319997</v>
      </c>
      <c r="N205" s="45">
        <f t="shared" si="34"/>
        <v>0.91569123719348477</v>
      </c>
      <c r="O205" s="46">
        <v>0.87464900000000001</v>
      </c>
      <c r="P205" s="45">
        <f t="shared" si="35"/>
        <v>0.82393354424999521</v>
      </c>
      <c r="Q205" s="45">
        <f t="shared" si="35"/>
        <v>0.78521435308498033</v>
      </c>
      <c r="R205" s="48">
        <v>21.24</v>
      </c>
      <c r="S205" s="57">
        <f t="shared" si="36"/>
        <v>0.96156732342834284</v>
      </c>
      <c r="T205" s="47">
        <f t="shared" si="37"/>
        <v>0.86453421044981438</v>
      </c>
      <c r="U205" s="47">
        <f>L205*((E$22/O205)-1)</f>
        <v>0.77540247573598009</v>
      </c>
      <c r="V205" s="47">
        <f t="shared" si="38"/>
        <v>0.70812968392310105</v>
      </c>
      <c r="W205" s="48">
        <f t="shared" si="39"/>
        <v>0.66097645258131776</v>
      </c>
    </row>
    <row r="206" spans="11:23" ht="18" customHeight="1">
      <c r="K206" s="43">
        <v>12</v>
      </c>
      <c r="L206" s="44">
        <v>5</v>
      </c>
      <c r="M206" s="45">
        <f t="shared" si="34"/>
        <v>0.83394313750720983</v>
      </c>
      <c r="N206" s="45">
        <f t="shared" si="34"/>
        <v>0.82079247455149051</v>
      </c>
      <c r="O206" s="46">
        <v>0.78478999999999999</v>
      </c>
      <c r="P206" s="45">
        <f t="shared" si="35"/>
        <v>0.74645572205663668</v>
      </c>
      <c r="Q206" s="45">
        <f t="shared" si="35"/>
        <v>0.71061258259331372</v>
      </c>
      <c r="R206" s="48">
        <v>21.15</v>
      </c>
      <c r="S206" s="57">
        <f t="shared" si="36"/>
        <v>1.0317094028094365</v>
      </c>
      <c r="T206" s="47">
        <f t="shared" si="37"/>
        <v>0.92866483132494126</v>
      </c>
      <c r="U206" s="47">
        <f>L206*((E$30/O206)-1)</f>
        <v>0.83092929318671294</v>
      </c>
      <c r="V206" s="47">
        <f t="shared" si="38"/>
        <v>0.73155823349876026</v>
      </c>
      <c r="W206" s="48">
        <f t="shared" si="39"/>
        <v>0.68588831547593987</v>
      </c>
    </row>
    <row r="207" spans="11:23" ht="18" customHeight="1">
      <c r="K207" s="43">
        <v>9</v>
      </c>
      <c r="L207" s="44">
        <v>5</v>
      </c>
      <c r="M207" s="45">
        <f t="shared" si="34"/>
        <v>0.58029965669658468</v>
      </c>
      <c r="N207" s="45">
        <f t="shared" si="34"/>
        <v>0.57935740072332098</v>
      </c>
      <c r="O207" s="46">
        <v>0.56611299999999998</v>
      </c>
      <c r="P207" s="45">
        <f t="shared" si="35"/>
        <v>0.5366208149782451</v>
      </c>
      <c r="Q207" s="45">
        <f t="shared" si="35"/>
        <v>0.51409863462834271</v>
      </c>
      <c r="R207" s="48">
        <v>18.420000000000002</v>
      </c>
      <c r="S207" s="57">
        <f t="shared" si="36"/>
        <v>1.2891888383944983</v>
      </c>
      <c r="T207" s="47">
        <f t="shared" si="37"/>
        <v>1.1181297826838876</v>
      </c>
      <c r="U207" s="47">
        <f>L207*((E$38/O207)-1)</f>
        <v>0.95948158759823654</v>
      </c>
      <c r="V207" s="47">
        <f t="shared" si="38"/>
        <v>0.83327925057657182</v>
      </c>
      <c r="W207" s="48">
        <f t="shared" si="39"/>
        <v>0.76466976082157467</v>
      </c>
    </row>
    <row r="208" spans="11:23" ht="18" customHeight="1">
      <c r="K208" s="43">
        <v>7</v>
      </c>
      <c r="L208" s="44">
        <v>5</v>
      </c>
      <c r="M208" s="45">
        <f t="shared" si="34"/>
        <v>0.44601282412838889</v>
      </c>
      <c r="N208" s="45">
        <f t="shared" si="34"/>
        <v>0.44644071586392536</v>
      </c>
      <c r="O208" s="49">
        <v>0.44091000000000002</v>
      </c>
      <c r="P208" s="45">
        <f t="shared" si="35"/>
        <v>0.42482740088028115</v>
      </c>
      <c r="Q208" s="45">
        <f t="shared" si="35"/>
        <v>0.40591131398838365</v>
      </c>
      <c r="R208" s="48">
        <v>19.21</v>
      </c>
      <c r="S208" s="57">
        <f t="shared" si="36"/>
        <v>1.5030269268982466</v>
      </c>
      <c r="T208" s="47">
        <f t="shared" si="37"/>
        <v>1.2978651226108218</v>
      </c>
      <c r="U208" s="47">
        <f>L208*((E$46/O208)-1)</f>
        <v>1.0748338663219248</v>
      </c>
      <c r="V208" s="47">
        <f t="shared" si="38"/>
        <v>0.91417343303329401</v>
      </c>
      <c r="W208" s="48">
        <f t="shared" si="39"/>
        <v>0.82551632671883479</v>
      </c>
    </row>
    <row r="209" spans="11:23" ht="18" customHeight="1">
      <c r="K209" s="43">
        <v>6</v>
      </c>
      <c r="L209" s="44">
        <v>5</v>
      </c>
      <c r="M209" s="45">
        <f t="shared" si="34"/>
        <v>0.38829093229020734</v>
      </c>
      <c r="N209" s="45">
        <f t="shared" si="34"/>
        <v>0.38972451284572523</v>
      </c>
      <c r="O209" s="49">
        <v>0.39111000000000001</v>
      </c>
      <c r="P209" s="45">
        <f t="shared" si="35"/>
        <v>0.37465084898406231</v>
      </c>
      <c r="Q209" s="45">
        <f t="shared" si="35"/>
        <v>0.36020936198767628</v>
      </c>
      <c r="R209" s="48">
        <v>16.87</v>
      </c>
      <c r="S209" s="57">
        <f t="shared" si="36"/>
        <v>1.6211418909261577</v>
      </c>
      <c r="T209" s="47">
        <f t="shared" si="37"/>
        <v>1.393382377913821</v>
      </c>
      <c r="U209" s="47">
        <f>L209*((E$54/O209)-1)</f>
        <v>1.1334407200020447</v>
      </c>
      <c r="V209" s="47">
        <f t="shared" si="38"/>
        <v>0.95266604046109316</v>
      </c>
      <c r="W209" s="48">
        <f t="shared" si="39"/>
        <v>0.84608133950975883</v>
      </c>
    </row>
    <row r="210" spans="11:23" ht="18" customHeight="1">
      <c r="K210" s="43">
        <v>3</v>
      </c>
      <c r="L210" s="44">
        <v>5</v>
      </c>
      <c r="M210" s="45">
        <f t="shared" si="34"/>
        <v>0.24904909019389773</v>
      </c>
      <c r="N210" s="45">
        <f t="shared" si="34"/>
        <v>0.25659345201134653</v>
      </c>
      <c r="O210" s="49">
        <v>0.25968999999999998</v>
      </c>
      <c r="P210" s="45">
        <f t="shared" si="35"/>
        <v>0.25442553133833568</v>
      </c>
      <c r="Q210" s="45">
        <f t="shared" si="35"/>
        <v>0.24314516933982069</v>
      </c>
      <c r="R210" s="48">
        <v>15.74</v>
      </c>
      <c r="S210" s="57">
        <f t="shared" si="36"/>
        <v>2.0817800547629717</v>
      </c>
      <c r="T210" s="47">
        <f t="shared" si="37"/>
        <v>1.7248962446767602</v>
      </c>
      <c r="U210" s="47">
        <f>L210*((E$62/O210)-1)</f>
        <v>1.3434479571797142</v>
      </c>
      <c r="V210" s="47">
        <f t="shared" si="38"/>
        <v>1.0757481992815776</v>
      </c>
      <c r="W210" s="48">
        <f t="shared" si="39"/>
        <v>0.92624315622277686</v>
      </c>
    </row>
    <row r="211" spans="11:23" ht="18" customHeight="1">
      <c r="K211" s="43">
        <v>0</v>
      </c>
      <c r="L211" s="44">
        <v>5</v>
      </c>
      <c r="M211" s="45">
        <f t="shared" si="34"/>
        <v>0.153125683519588</v>
      </c>
      <c r="N211" s="45">
        <f t="shared" si="34"/>
        <v>0.16160355438681623</v>
      </c>
      <c r="O211" s="49">
        <v>0.16745599999999999</v>
      </c>
      <c r="P211" s="45">
        <f t="shared" si="35"/>
        <v>0.16670362418273593</v>
      </c>
      <c r="Q211" s="45">
        <f t="shared" si="35"/>
        <v>0.16058795535706047</v>
      </c>
      <c r="R211" s="48">
        <v>15.34</v>
      </c>
      <c r="S211" s="57">
        <f t="shared" si="36"/>
        <v>2.8072185825013731</v>
      </c>
      <c r="T211" s="47">
        <f t="shared" si="37"/>
        <v>2.1713964898858631</v>
      </c>
      <c r="U211" s="47">
        <f>L211*((E$70/O211)-1)</f>
        <v>1.594120246512517</v>
      </c>
      <c r="V211" s="47">
        <f t="shared" si="38"/>
        <v>1.2014155367390777</v>
      </c>
      <c r="W211" s="48">
        <f t="shared" si="39"/>
        <v>1.0066859958130814</v>
      </c>
    </row>
    <row r="212" spans="11:23" ht="18" customHeight="1">
      <c r="K212" s="43">
        <v>-3</v>
      </c>
      <c r="L212" s="44">
        <v>5</v>
      </c>
      <c r="M212" s="45">
        <f t="shared" si="34"/>
        <v>9.0908994531652104E-2</v>
      </c>
      <c r="N212" s="45">
        <f t="shared" si="34"/>
        <v>9.9679730337256578E-2</v>
      </c>
      <c r="O212" s="49">
        <v>0.106735</v>
      </c>
      <c r="P212" s="45">
        <f t="shared" si="35"/>
        <v>0.10784669844887886</v>
      </c>
      <c r="Q212" s="45">
        <f t="shared" si="35"/>
        <v>0.10385008454269024</v>
      </c>
      <c r="R212" s="48">
        <v>13.9</v>
      </c>
      <c r="S212" s="57">
        <f t="shared" si="36"/>
        <v>3.9011323321947033</v>
      </c>
      <c r="T212" s="47">
        <f t="shared" si="37"/>
        <v>2.781176342148334</v>
      </c>
      <c r="U212" s="47">
        <f>L212*((E$78/O212)-1)</f>
        <v>1.899939101513094</v>
      </c>
      <c r="V212" s="47">
        <f t="shared" si="38"/>
        <v>1.3481218996944866</v>
      </c>
      <c r="W212" s="48">
        <f t="shared" si="39"/>
        <v>1.09319753465833</v>
      </c>
    </row>
    <row r="213" spans="11:23" ht="18" customHeight="1">
      <c r="K213" s="43">
        <v>-8</v>
      </c>
      <c r="L213" s="44">
        <v>5</v>
      </c>
      <c r="M213" s="45">
        <f t="shared" si="34"/>
        <v>3.3451979781015405E-2</v>
      </c>
      <c r="N213" s="45">
        <f t="shared" si="34"/>
        <v>4.010271726128372E-2</v>
      </c>
      <c r="O213" s="49">
        <v>4.7433000000000003E-2</v>
      </c>
      <c r="P213" s="45">
        <f t="shared" si="35"/>
        <v>4.9172286552456167E-2</v>
      </c>
      <c r="Q213" s="45">
        <f t="shared" si="35"/>
        <v>4.6468092264243498E-2</v>
      </c>
      <c r="R213" s="48">
        <v>12.66</v>
      </c>
      <c r="S213" s="57">
        <f t="shared" si="36"/>
        <v>6.9906454239044162</v>
      </c>
      <c r="T213" s="47">
        <f t="shared" si="37"/>
        <v>4.4041120010984427</v>
      </c>
      <c r="U213" s="47">
        <f>L213*((E$86/O213)-1)</f>
        <v>2.487930343853435</v>
      </c>
      <c r="V213" s="47">
        <f t="shared" si="38"/>
        <v>1.5829124309285236</v>
      </c>
      <c r="W213" s="48">
        <f t="shared" si="39"/>
        <v>1.2063879772112884</v>
      </c>
    </row>
    <row r="214" spans="11:23" ht="18" customHeight="1">
      <c r="K214" s="43">
        <v>-12</v>
      </c>
      <c r="L214" s="44">
        <v>5</v>
      </c>
      <c r="M214" s="45">
        <f t="shared" si="34"/>
        <v>1.2896991450774517E-2</v>
      </c>
      <c r="N214" s="45">
        <f t="shared" si="34"/>
        <v>1.8068652202774711E-2</v>
      </c>
      <c r="O214" s="49">
        <v>2.2915000000000001E-2</v>
      </c>
      <c r="P214" s="45">
        <f t="shared" si="35"/>
        <v>2.3630318480600425E-2</v>
      </c>
      <c r="Q214" s="45">
        <f t="shared" si="35"/>
        <v>2.3027631111612136E-2</v>
      </c>
      <c r="R214" s="48">
        <v>12.21</v>
      </c>
      <c r="S214" s="57">
        <f t="shared" si="36"/>
        <v>11.131387046662056</v>
      </c>
      <c r="T214" s="47">
        <f t="shared" si="37"/>
        <v>5.9885406627676296</v>
      </c>
      <c r="U214" s="47">
        <f>L214*((E$94/O214)-1)</f>
        <v>2.9578878463888278</v>
      </c>
      <c r="V214" s="47">
        <f t="shared" si="38"/>
        <v>1.7363413874736322</v>
      </c>
      <c r="W214" s="48">
        <f t="shared" si="39"/>
        <v>1.2656236735970439</v>
      </c>
    </row>
    <row r="215" spans="11:23" ht="18" customHeight="1">
      <c r="K215" s="43">
        <v>-17</v>
      </c>
      <c r="L215" s="44">
        <v>5</v>
      </c>
      <c r="M215" s="45">
        <f t="shared" si="34"/>
        <v>3.9588470625709291E-3</v>
      </c>
      <c r="N215" s="45">
        <f t="shared" si="34"/>
        <v>6.6244753886281959E-3</v>
      </c>
      <c r="O215" s="49">
        <v>8.9269999999999992E-3</v>
      </c>
      <c r="P215" s="45">
        <f t="shared" si="35"/>
        <v>9.4284319914798888E-3</v>
      </c>
      <c r="Q215" s="45">
        <f t="shared" si="35"/>
        <v>9.2480346893710017E-3</v>
      </c>
      <c r="R215" s="48">
        <v>13.23</v>
      </c>
      <c r="S215" s="57">
        <f t="shared" si="36"/>
        <v>17.374913228393453</v>
      </c>
      <c r="T215" s="47">
        <f t="shared" si="37"/>
        <v>7.5333543809709536</v>
      </c>
      <c r="U215" s="47">
        <f>L215*((E$102/O215)-1)</f>
        <v>3.3734737313767225</v>
      </c>
      <c r="V215" s="47">
        <f t="shared" si="38"/>
        <v>1.8351815609556243</v>
      </c>
      <c r="W215" s="48">
        <f t="shared" si="39"/>
        <v>1.2939514232491522</v>
      </c>
    </row>
    <row r="216" spans="11:23" ht="18" customHeight="1" thickBot="1">
      <c r="K216" s="50">
        <v>-20</v>
      </c>
      <c r="L216" s="51">
        <v>5</v>
      </c>
      <c r="M216" s="52">
        <f t="shared" si="34"/>
        <v>2.3191878989774748E-3</v>
      </c>
      <c r="N216" s="52">
        <f t="shared" si="34"/>
        <v>3.9077301443492182E-3</v>
      </c>
      <c r="O216" s="53">
        <v>5.2960000000000004E-3</v>
      </c>
      <c r="P216" s="52">
        <f t="shared" si="35"/>
        <v>5.5882488270019249E-3</v>
      </c>
      <c r="Q216" s="52">
        <f t="shared" si="35"/>
        <v>6.0717310343197245E-3</v>
      </c>
      <c r="R216" s="55">
        <v>11.96</v>
      </c>
      <c r="S216" s="58">
        <f t="shared" si="36"/>
        <v>18.94931138206757</v>
      </c>
      <c r="T216" s="54">
        <f t="shared" si="37"/>
        <v>7.9268962386114268</v>
      </c>
      <c r="U216" s="54">
        <f>L216*((E$110/O216)-1)</f>
        <v>3.5130287009063443</v>
      </c>
      <c r="V216" s="54">
        <f t="shared" si="38"/>
        <v>1.8630824533033408</v>
      </c>
      <c r="W216" s="55">
        <f t="shared" si="39"/>
        <v>1.2987726783934506</v>
      </c>
    </row>
    <row r="217" spans="11:23" ht="40.5" customHeight="1" thickBot="1">
      <c r="K217" s="81"/>
      <c r="L217" s="23"/>
      <c r="M217" s="28" t="s">
        <v>39</v>
      </c>
      <c r="N217" s="28" t="s">
        <v>40</v>
      </c>
      <c r="O217" s="29" t="s">
        <v>41</v>
      </c>
      <c r="P217" s="28" t="s">
        <v>42</v>
      </c>
      <c r="Q217" s="28" t="s">
        <v>43</v>
      </c>
      <c r="R217" s="30"/>
      <c r="S217" s="28" t="s">
        <v>61</v>
      </c>
      <c r="T217" s="28" t="s">
        <v>62</v>
      </c>
      <c r="U217" s="28" t="s">
        <v>63</v>
      </c>
      <c r="V217" s="28" t="s">
        <v>64</v>
      </c>
      <c r="W217" s="83" t="s">
        <v>65</v>
      </c>
    </row>
    <row r="218" spans="11:23" ht="18" customHeight="1" thickTop="1">
      <c r="K218" s="32">
        <v>18</v>
      </c>
      <c r="L218">
        <v>2</v>
      </c>
      <c r="M218" s="12">
        <f t="shared" ref="M218:N231" si="40">$O96* 10^(M96/$R96)</f>
        <v>1.3316956599597349</v>
      </c>
      <c r="N218" s="12">
        <f t="shared" si="40"/>
        <v>1.2905027339193789</v>
      </c>
      <c r="O218" s="12">
        <v>1.2246999999999999</v>
      </c>
      <c r="P218" s="12">
        <f t="shared" ref="P218:Q231" si="41">$O96* 10^(P96/$R96)</f>
        <v>1.152366130771227</v>
      </c>
      <c r="Q218" s="12">
        <f t="shared" si="41"/>
        <v>1.0528295746577578</v>
      </c>
      <c r="R218" s="26">
        <v>23.45</v>
      </c>
      <c r="S218" s="5">
        <f>$L218*((M128/M218)-1)</f>
        <v>0.6497062379148506</v>
      </c>
      <c r="T218" s="5">
        <f>$L218*((N128/N218)-1)</f>
        <v>0.62627366267222051</v>
      </c>
      <c r="U218" s="5">
        <f>L218*(($O128/O218)-1)</f>
        <v>0.60047358536784534</v>
      </c>
      <c r="V218" s="5">
        <f>$L218*((P128/P218)-1)</f>
        <v>0.57865204974217654</v>
      </c>
      <c r="W218" s="26">
        <f>$L218*((Q128/Q218)-1)</f>
        <v>0.5709879421353139</v>
      </c>
    </row>
    <row r="219" spans="11:23" ht="18" customHeight="1">
      <c r="K219" s="32">
        <v>15</v>
      </c>
      <c r="L219">
        <v>2</v>
      </c>
      <c r="M219" s="12">
        <f t="shared" si="40"/>
        <v>0.97031690394862891</v>
      </c>
      <c r="N219" s="12">
        <f t="shared" si="40"/>
        <v>0.95116261846455274</v>
      </c>
      <c r="O219" s="12">
        <v>0.91220000000000001</v>
      </c>
      <c r="P219" s="12">
        <f t="shared" si="41"/>
        <v>0.8546882136216688</v>
      </c>
      <c r="Q219" s="12">
        <f t="shared" si="41"/>
        <v>0.82252459199515116</v>
      </c>
      <c r="R219" s="26">
        <v>21.25</v>
      </c>
      <c r="S219" s="5">
        <f t="shared" ref="S219:S231" si="42">$L219*((M129/M219)-1)</f>
        <v>0.79599765027325953</v>
      </c>
      <c r="T219" s="5">
        <f t="shared" ref="T219:T231" si="43">$L219*((N129/N219)-1)</f>
        <v>0.73762688153375899</v>
      </c>
      <c r="U219" s="5">
        <f>L219*((O129/O219)-1)</f>
        <v>0.68427976320982209</v>
      </c>
      <c r="V219" s="5">
        <f t="shared" ref="V219:V231" si="44">$L219*((P129/P219)-1)</f>
        <v>0.64526424477529121</v>
      </c>
      <c r="W219" s="26">
        <f t="shared" ref="W219:W231" si="45">$L219*((Q129/Q219)-1)</f>
        <v>0.6147191474389504</v>
      </c>
    </row>
    <row r="220" spans="11:23" ht="18" customHeight="1">
      <c r="K220" s="32">
        <v>13</v>
      </c>
      <c r="L220">
        <v>2</v>
      </c>
      <c r="M220" s="12">
        <f t="shared" si="40"/>
        <v>0.76943685969511155</v>
      </c>
      <c r="N220" s="12">
        <f t="shared" si="40"/>
        <v>0.76102165491107909</v>
      </c>
      <c r="O220" s="12">
        <v>0.73448999999999998</v>
      </c>
      <c r="P220" s="12">
        <f t="shared" si="41"/>
        <v>0.69874977728462884</v>
      </c>
      <c r="Q220" s="12">
        <f t="shared" si="41"/>
        <v>0.67034905734008399</v>
      </c>
      <c r="R220" s="26">
        <v>20.309999999999999</v>
      </c>
      <c r="S220" s="5">
        <f t="shared" si="42"/>
        <v>0.89538617373503948</v>
      </c>
      <c r="T220" s="5">
        <f t="shared" si="43"/>
        <v>0.82257544293284068</v>
      </c>
      <c r="U220" s="5">
        <f>L220*(($O130/O220)-1)</f>
        <v>0.75099729063704057</v>
      </c>
      <c r="V220" s="5">
        <f t="shared" si="44"/>
        <v>0.69230541427283843</v>
      </c>
      <c r="W220" s="26">
        <f t="shared" si="45"/>
        <v>0.65239723357310675</v>
      </c>
    </row>
    <row r="221" spans="11:23" ht="18" customHeight="1">
      <c r="K221" s="32">
        <v>12</v>
      </c>
      <c r="L221">
        <v>2</v>
      </c>
      <c r="M221" s="12">
        <f t="shared" si="40"/>
        <v>0.68267372326937348</v>
      </c>
      <c r="N221" s="12">
        <f t="shared" si="40"/>
        <v>0.67839870806182445</v>
      </c>
      <c r="O221" s="12">
        <v>0.65577200000000002</v>
      </c>
      <c r="P221" s="12">
        <f t="shared" si="41"/>
        <v>0.63014625765096854</v>
      </c>
      <c r="Q221" s="12">
        <f t="shared" si="41"/>
        <v>0.60434731851049039</v>
      </c>
      <c r="R221" s="26">
        <v>20.16</v>
      </c>
      <c r="S221" s="5">
        <f t="shared" si="42"/>
        <v>0.94729531397289923</v>
      </c>
      <c r="T221" s="5">
        <f t="shared" si="43"/>
        <v>0.86922921276915099</v>
      </c>
      <c r="U221" s="5">
        <f>L221*(($O131/O221)-1)</f>
        <v>0.79124756775220639</v>
      </c>
      <c r="V221" s="5">
        <f t="shared" si="44"/>
        <v>0.71578503418850081</v>
      </c>
      <c r="W221" s="26">
        <f t="shared" si="45"/>
        <v>0.67426604301371995</v>
      </c>
    </row>
    <row r="222" spans="11:23" ht="18" customHeight="1">
      <c r="K222" s="32">
        <v>9</v>
      </c>
      <c r="L222">
        <v>2</v>
      </c>
      <c r="M222" s="12">
        <f t="shared" si="40"/>
        <v>0.46824620229368236</v>
      </c>
      <c r="N222" s="12">
        <f t="shared" si="40"/>
        <v>0.47124391670191063</v>
      </c>
      <c r="O222" s="12">
        <v>0.46550999999999998</v>
      </c>
      <c r="P222" s="12">
        <f t="shared" si="41"/>
        <v>0.44691547709805785</v>
      </c>
      <c r="Q222" s="12">
        <f t="shared" si="41"/>
        <v>0.43209184883798413</v>
      </c>
      <c r="R222" s="26">
        <v>17.68</v>
      </c>
      <c r="S222" s="5">
        <f t="shared" si="42"/>
        <v>1.1176881785204906</v>
      </c>
      <c r="T222" s="5">
        <f t="shared" si="43"/>
        <v>1.0087041063499442</v>
      </c>
      <c r="U222" s="5">
        <f>L222*((E$38/O222)-1)</f>
        <v>0.8989624283044404</v>
      </c>
      <c r="V222" s="5">
        <f t="shared" si="44"/>
        <v>0.80165644364406363</v>
      </c>
      <c r="W222" s="26">
        <f t="shared" si="45"/>
        <v>0.74349896772331148</v>
      </c>
    </row>
    <row r="223" spans="11:23" ht="18" customHeight="1">
      <c r="K223" s="32">
        <v>7</v>
      </c>
      <c r="L223">
        <v>2</v>
      </c>
      <c r="M223" s="12">
        <f t="shared" si="40"/>
        <v>0.35646965406468373</v>
      </c>
      <c r="N223" s="12">
        <f t="shared" si="40"/>
        <v>0.35900622673151011</v>
      </c>
      <c r="O223" s="12">
        <v>0.35878300000000002</v>
      </c>
      <c r="P223" s="12">
        <f t="shared" si="41"/>
        <v>0.35040245088413263</v>
      </c>
      <c r="Q223" s="12">
        <f t="shared" si="41"/>
        <v>0.33840765365291398</v>
      </c>
      <c r="R223" s="26">
        <v>18.510000000000002</v>
      </c>
      <c r="S223" s="5">
        <f t="shared" si="42"/>
        <v>1.254620270731424</v>
      </c>
      <c r="T223" s="5">
        <f t="shared" si="43"/>
        <v>1.1326737024598201</v>
      </c>
      <c r="U223" s="5">
        <f>L223*((E$46/O223)-1)</f>
        <v>0.98615597728989401</v>
      </c>
      <c r="V223" s="5">
        <f t="shared" si="44"/>
        <v>0.86813396603958282</v>
      </c>
      <c r="W223" s="26">
        <f t="shared" si="45"/>
        <v>0.79502305732660261</v>
      </c>
    </row>
    <row r="224" spans="11:23" ht="18" customHeight="1">
      <c r="K224" s="32">
        <v>6</v>
      </c>
      <c r="L224">
        <v>2</v>
      </c>
      <c r="M224" s="12">
        <f t="shared" si="40"/>
        <v>0.30880254023154358</v>
      </c>
      <c r="N224" s="12">
        <f t="shared" si="40"/>
        <v>0.31158530560537234</v>
      </c>
      <c r="O224" s="12">
        <v>0.31681999999999999</v>
      </c>
      <c r="P224" s="12">
        <f t="shared" si="41"/>
        <v>0.30748616265996853</v>
      </c>
      <c r="Q224" s="12">
        <f t="shared" si="41"/>
        <v>0.29923581974442409</v>
      </c>
      <c r="R224" s="26">
        <v>16.170000000000002</v>
      </c>
      <c r="S224" s="5">
        <f t="shared" si="42"/>
        <v>1.3301919805785962</v>
      </c>
      <c r="T224" s="5">
        <f t="shared" si="43"/>
        <v>1.1986846463480298</v>
      </c>
      <c r="U224" s="5">
        <f>L224*((E$54/O224)-1)</f>
        <v>1.0286598068303769</v>
      </c>
      <c r="V224" s="5">
        <f t="shared" si="44"/>
        <v>0.90116649996190512</v>
      </c>
      <c r="W224" s="26">
        <f t="shared" si="45"/>
        <v>0.81492133024907965</v>
      </c>
    </row>
    <row r="225" spans="11:23" ht="18" customHeight="1">
      <c r="K225" s="32">
        <v>3</v>
      </c>
      <c r="L225">
        <v>2</v>
      </c>
      <c r="M225" s="12">
        <f t="shared" si="40"/>
        <v>0.1941214840296869</v>
      </c>
      <c r="N225" s="12">
        <f t="shared" si="40"/>
        <v>0.20136089507767513</v>
      </c>
      <c r="O225" s="12">
        <v>0.206674</v>
      </c>
      <c r="P225" s="12">
        <f t="shared" si="41"/>
        <v>0.20616802346611657</v>
      </c>
      <c r="Q225" s="12">
        <f t="shared" si="41"/>
        <v>0.19954904361880257</v>
      </c>
      <c r="R225" s="26">
        <v>15.03</v>
      </c>
      <c r="S225" s="5">
        <f t="shared" si="42"/>
        <v>1.6342414924507498</v>
      </c>
      <c r="T225" s="5">
        <f t="shared" si="43"/>
        <v>1.4278042738618395</v>
      </c>
      <c r="U225" s="5">
        <f>L225*((E$62/O225)-1)</f>
        <v>1.188267513088245</v>
      </c>
      <c r="V225" s="5">
        <f t="shared" si="44"/>
        <v>0.99915658673267727</v>
      </c>
      <c r="W225" s="26">
        <f t="shared" si="45"/>
        <v>0.88838747535438989</v>
      </c>
    </row>
    <row r="226" spans="11:23" ht="18" customHeight="1">
      <c r="K226" s="32">
        <v>0</v>
      </c>
      <c r="L226">
        <v>2</v>
      </c>
      <c r="M226" s="12">
        <f t="shared" si="40"/>
        <v>0.11588779782821138</v>
      </c>
      <c r="N226" s="12">
        <f t="shared" si="40"/>
        <v>0.12356750683955435</v>
      </c>
      <c r="O226" s="12">
        <v>0.13053899999999999</v>
      </c>
      <c r="P226" s="12">
        <f t="shared" si="41"/>
        <v>0.13309106445384072</v>
      </c>
      <c r="Q226" s="12">
        <f t="shared" si="41"/>
        <v>0.13049723084581327</v>
      </c>
      <c r="R226" s="26">
        <v>14.39</v>
      </c>
      <c r="S226" s="5">
        <f t="shared" si="42"/>
        <v>2.1263556793252869</v>
      </c>
      <c r="T226" s="5">
        <f t="shared" si="43"/>
        <v>1.7515466398055319</v>
      </c>
      <c r="U226" s="5">
        <f>L226*((E$70/O226)-1)</f>
        <v>1.3835865143750148</v>
      </c>
      <c r="V226" s="5">
        <f t="shared" si="44"/>
        <v>1.107040879956529</v>
      </c>
      <c r="W226" s="26">
        <f t="shared" si="45"/>
        <v>0.95669545257774669</v>
      </c>
    </row>
    <row r="227" spans="11:23" ht="18" customHeight="1">
      <c r="K227" s="32">
        <v>-3</v>
      </c>
      <c r="L227">
        <v>2</v>
      </c>
      <c r="M227" s="12">
        <f t="shared" si="40"/>
        <v>6.55013246428547E-2</v>
      </c>
      <c r="N227" s="12">
        <f t="shared" si="40"/>
        <v>7.3189719526278424E-2</v>
      </c>
      <c r="O227" s="12">
        <v>8.0769999999999995E-2</v>
      </c>
      <c r="P227" s="12">
        <f t="shared" si="41"/>
        <v>8.4440361300016351E-2</v>
      </c>
      <c r="Q227" s="12">
        <f t="shared" si="41"/>
        <v>8.3281796109493697E-2</v>
      </c>
      <c r="R227" s="26">
        <v>12.9</v>
      </c>
      <c r="S227" s="5">
        <f t="shared" si="42"/>
        <v>2.9415366478471485</v>
      </c>
      <c r="T227" s="5">
        <f t="shared" si="43"/>
        <v>2.238986374109559</v>
      </c>
      <c r="U227" s="5">
        <f>L227*((E$78/O227)-1)</f>
        <v>1.64722050266188</v>
      </c>
      <c r="V227" s="5">
        <f t="shared" si="44"/>
        <v>1.2431125480413723</v>
      </c>
      <c r="W227" s="26">
        <f t="shared" si="45"/>
        <v>1.0392191747528639</v>
      </c>
    </row>
    <row r="228" spans="11:23" ht="18" customHeight="1">
      <c r="K228" s="32">
        <v>-8</v>
      </c>
      <c r="L228">
        <v>2</v>
      </c>
      <c r="M228" s="12">
        <f t="shared" si="40"/>
        <v>2.0900183827617394E-2</v>
      </c>
      <c r="N228" s="12">
        <f t="shared" si="40"/>
        <v>2.6410006287657193E-2</v>
      </c>
      <c r="O228" s="12">
        <v>3.3654999999999997E-2</v>
      </c>
      <c r="P228" s="12">
        <f t="shared" si="41"/>
        <v>3.7129936935675574E-2</v>
      </c>
      <c r="Q228" s="12">
        <f t="shared" si="41"/>
        <v>3.6451667260641273E-2</v>
      </c>
      <c r="R228" s="26">
        <v>11.74</v>
      </c>
      <c r="S228" s="5">
        <f t="shared" si="42"/>
        <v>5.6766947427849823</v>
      </c>
      <c r="T228" s="5">
        <f t="shared" si="43"/>
        <v>3.7119326753019228</v>
      </c>
      <c r="U228" s="5">
        <f>L228*((E$86/O228)-1)</f>
        <v>2.2213638389540931</v>
      </c>
      <c r="V228" s="5">
        <f t="shared" si="44"/>
        <v>1.4871791671946024</v>
      </c>
      <c r="W228" s="26">
        <f t="shared" si="45"/>
        <v>1.164727770508811</v>
      </c>
    </row>
    <row r="229" spans="11:23" ht="18" customHeight="1">
      <c r="K229" s="32">
        <v>-12</v>
      </c>
      <c r="L229">
        <v>2</v>
      </c>
      <c r="M229" s="12">
        <f t="shared" si="40"/>
        <v>6.9467605465349568E-3</v>
      </c>
      <c r="N229" s="12">
        <f t="shared" si="40"/>
        <v>1.0748362240669673E-2</v>
      </c>
      <c r="O229" s="12">
        <v>1.5363E-2</v>
      </c>
      <c r="P229" s="12">
        <f t="shared" si="41"/>
        <v>1.7352675815870407E-2</v>
      </c>
      <c r="Q229" s="12">
        <f t="shared" si="41"/>
        <v>1.7835006401415218E-2</v>
      </c>
      <c r="R229" s="26">
        <v>11.59</v>
      </c>
      <c r="S229" s="5">
        <f t="shared" si="42"/>
        <v>9.9794750048615857</v>
      </c>
      <c r="T229" s="5">
        <f t="shared" si="43"/>
        <v>5.3889627091401548</v>
      </c>
      <c r="U229" s="5">
        <f>L229*((E$94/O229)-1)</f>
        <v>2.7479008006248788</v>
      </c>
      <c r="V229" s="5">
        <f t="shared" si="44"/>
        <v>1.6693336305970083</v>
      </c>
      <c r="W229" s="26">
        <f t="shared" si="45"/>
        <v>1.2359387463595843</v>
      </c>
    </row>
    <row r="230" spans="11:23" ht="18" customHeight="1">
      <c r="K230" s="32">
        <v>-17</v>
      </c>
      <c r="L230">
        <v>2</v>
      </c>
      <c r="M230" s="12">
        <f t="shared" si="40"/>
        <v>1.8862563447086128E-3</v>
      </c>
      <c r="N230" s="12">
        <f t="shared" si="40"/>
        <v>3.5966470454905702E-3</v>
      </c>
      <c r="O230" s="12">
        <v>5.6880000000000003E-3</v>
      </c>
      <c r="P230" s="12">
        <f t="shared" si="41"/>
        <v>6.7855014703918472E-3</v>
      </c>
      <c r="Q230" s="12">
        <f t="shared" si="41"/>
        <v>7.0965992920665093E-3</v>
      </c>
      <c r="R230" s="26">
        <v>12.79</v>
      </c>
      <c r="S230" s="5">
        <f t="shared" si="42"/>
        <v>16.784055466901755</v>
      </c>
      <c r="T230" s="5">
        <f t="shared" si="43"/>
        <v>7.233811000475626</v>
      </c>
      <c r="U230" s="5">
        <f>L230*((E$102/O230)-1)</f>
        <v>3.2566807313642752</v>
      </c>
      <c r="V230" s="5">
        <f t="shared" si="44"/>
        <v>1.7989849256146959</v>
      </c>
      <c r="W230" s="26">
        <f t="shared" si="45"/>
        <v>1.2808210637168176</v>
      </c>
    </row>
    <row r="231" spans="11:23" ht="18" customHeight="1" thickBot="1">
      <c r="K231" s="32">
        <v>-20</v>
      </c>
      <c r="L231">
        <v>2</v>
      </c>
      <c r="M231" s="12">
        <f t="shared" si="40"/>
        <v>1.0729241057104279E-3</v>
      </c>
      <c r="N231" s="12">
        <f t="shared" si="40"/>
        <v>2.0776746926266438E-3</v>
      </c>
      <c r="O231" s="12">
        <v>3.3149999999999998E-3</v>
      </c>
      <c r="P231" s="12">
        <f t="shared" si="41"/>
        <v>3.9988629872998232E-3</v>
      </c>
      <c r="Q231" s="12">
        <f t="shared" si="41"/>
        <v>4.6531653989150545E-3</v>
      </c>
      <c r="R231" s="26">
        <v>11.7</v>
      </c>
      <c r="S231" s="5">
        <f t="shared" si="42"/>
        <v>18.707132163595972</v>
      </c>
      <c r="T231" s="5">
        <f t="shared" si="43"/>
        <v>7.7252610880357615</v>
      </c>
      <c r="U231" s="5">
        <f>L231*((E$110/O231)-1)</f>
        <v>3.4401206636500765</v>
      </c>
      <c r="V231" s="5">
        <f t="shared" si="44"/>
        <v>1.836351742092265</v>
      </c>
      <c r="W231" s="26">
        <f t="shared" si="45"/>
        <v>1.2876074904574746</v>
      </c>
    </row>
    <row r="232" spans="11:23" ht="37.5" customHeight="1" thickTop="1" thickBot="1">
      <c r="K232" s="82"/>
      <c r="L232" s="15"/>
      <c r="M232" s="16" t="s">
        <v>39</v>
      </c>
      <c r="N232" s="16" t="s">
        <v>40</v>
      </c>
      <c r="O232" s="17" t="s">
        <v>41</v>
      </c>
      <c r="P232" s="16" t="s">
        <v>42</v>
      </c>
      <c r="Q232" s="16" t="s">
        <v>43</v>
      </c>
      <c r="R232" s="27"/>
      <c r="S232" s="16" t="s">
        <v>66</v>
      </c>
      <c r="T232" s="16" t="s">
        <v>67</v>
      </c>
      <c r="U232" s="16" t="s">
        <v>68</v>
      </c>
      <c r="V232" s="16" t="s">
        <v>69</v>
      </c>
      <c r="W232" s="84" t="s">
        <v>70</v>
      </c>
    </row>
    <row r="233" spans="11:23" ht="18" customHeight="1" thickTop="1">
      <c r="K233" s="32">
        <v>18</v>
      </c>
      <c r="L233">
        <v>1</v>
      </c>
      <c r="M233" s="12">
        <f t="shared" ref="M233:N246" si="46">$O111* 10^(M111/$R111)</f>
        <v>1.0750943578680117</v>
      </c>
      <c r="N233" s="12">
        <f t="shared" si="46"/>
        <v>1.0472182128379151</v>
      </c>
      <c r="O233" s="12">
        <v>0.99885000000000002</v>
      </c>
      <c r="P233" s="12">
        <f t="shared" ref="P233:Q246" si="47">$O111* 10^(P111/$R111)</f>
        <v>0.94479851092103107</v>
      </c>
      <c r="Q233" s="12">
        <f t="shared" si="47"/>
        <v>0.86469003277207079</v>
      </c>
      <c r="R233" s="26">
        <v>22.35</v>
      </c>
      <c r="S233" s="5">
        <f t="shared" ref="S233:S245" si="48">$L233*((M128/M233)-1)</f>
        <v>0.64106632658593421</v>
      </c>
      <c r="T233" s="5">
        <f t="shared" ref="T233:T246" si="49">$L233*((N128/N233)-1)</f>
        <v>0.61819824185178329</v>
      </c>
      <c r="U233" s="5">
        <f>L233*((E$6/O233)-1)</f>
        <v>0.59423336837362961</v>
      </c>
      <c r="V233" s="5">
        <f t="shared" ref="V233:V246" si="50">$L233*((P128/P233)-1)</f>
        <v>0.57258465737307662</v>
      </c>
      <c r="W233" s="26">
        <f t="shared" ref="W233:W246" si="51">$L233*((Q128/Q233)-1)</f>
        <v>0.56519217232729013</v>
      </c>
    </row>
    <row r="234" spans="11:23" ht="18" customHeight="1">
      <c r="K234" s="32">
        <v>15</v>
      </c>
      <c r="L234">
        <v>1</v>
      </c>
      <c r="M234" s="12">
        <f t="shared" si="46"/>
        <v>0.76946869725657163</v>
      </c>
      <c r="N234" s="12">
        <f t="shared" si="46"/>
        <v>0.75877935110910222</v>
      </c>
      <c r="O234" s="12">
        <v>0.73328000000000004</v>
      </c>
      <c r="P234" s="12">
        <f t="shared" si="47"/>
        <v>0.69251482592700453</v>
      </c>
      <c r="Q234" s="12">
        <f t="shared" si="47"/>
        <v>0.67022458482757474</v>
      </c>
      <c r="R234" s="26">
        <v>20.41</v>
      </c>
      <c r="S234" s="5">
        <f t="shared" si="48"/>
        <v>0.76290718071677888</v>
      </c>
      <c r="T234" s="5">
        <f t="shared" si="49"/>
        <v>0.71586664108113585</v>
      </c>
      <c r="U234" s="5">
        <f>L234*((E$15/O234)-1)</f>
        <v>0.66375736417193965</v>
      </c>
      <c r="V234" s="5">
        <f t="shared" si="50"/>
        <v>0.63236662038090241</v>
      </c>
      <c r="W234" s="26">
        <f t="shared" si="51"/>
        <v>0.6044403984989779</v>
      </c>
    </row>
    <row r="235" spans="11:23" ht="18" customHeight="1">
      <c r="K235" s="32">
        <v>13</v>
      </c>
      <c r="L235">
        <v>1</v>
      </c>
      <c r="M235" s="12">
        <f t="shared" si="46"/>
        <v>0.60407870130449104</v>
      </c>
      <c r="N235" s="12">
        <f t="shared" si="46"/>
        <v>0.60138387069808308</v>
      </c>
      <c r="O235" s="12">
        <v>0.58518999999999999</v>
      </c>
      <c r="P235" s="12">
        <f t="shared" si="47"/>
        <v>0.56151489410498823</v>
      </c>
      <c r="Q235" s="12">
        <f t="shared" si="47"/>
        <v>0.54184915244995058</v>
      </c>
      <c r="R235" s="26">
        <v>19.57</v>
      </c>
      <c r="S235" s="5">
        <f t="shared" si="48"/>
        <v>0.84397897187272553</v>
      </c>
      <c r="T235" s="5">
        <f t="shared" si="49"/>
        <v>0.78591506968642877</v>
      </c>
      <c r="U235" s="5">
        <f>L235*((E$22/O235)-1)</f>
        <v>0.72643073189904128</v>
      </c>
      <c r="V235" s="5">
        <f t="shared" si="50"/>
        <v>0.67515397040706393</v>
      </c>
      <c r="W235" s="26">
        <f t="shared" si="51"/>
        <v>0.64070754487468862</v>
      </c>
    </row>
    <row r="236" spans="11:23" ht="18" customHeight="1">
      <c r="K236" s="32">
        <v>12</v>
      </c>
      <c r="L236">
        <v>1</v>
      </c>
      <c r="M236" s="12">
        <f t="shared" si="46"/>
        <v>0.53380854710191428</v>
      </c>
      <c r="N236" s="12">
        <f t="shared" si="46"/>
        <v>0.53380854710191428</v>
      </c>
      <c r="O236" s="12">
        <v>0.52022900000000005</v>
      </c>
      <c r="P236" s="12">
        <f t="shared" si="47"/>
        <v>0.50347144682272493</v>
      </c>
      <c r="Q236" s="12">
        <f t="shared" si="47"/>
        <v>0.48667808002806867</v>
      </c>
      <c r="R236" s="26">
        <v>19.48</v>
      </c>
      <c r="S236" s="5">
        <f t="shared" si="48"/>
        <v>0.88460926345950686</v>
      </c>
      <c r="T236" s="5">
        <f t="shared" si="49"/>
        <v>0.82320178427586788</v>
      </c>
      <c r="U236" s="5">
        <f>L236*((E$30/O236)-1)</f>
        <v>0.75924640879305061</v>
      </c>
      <c r="V236" s="5">
        <f t="shared" si="50"/>
        <v>0.69954203627456568</v>
      </c>
      <c r="W236" s="26">
        <f t="shared" si="51"/>
        <v>0.66042562671590788</v>
      </c>
    </row>
    <row r="237" spans="11:23" ht="18" customHeight="1">
      <c r="K237" s="32">
        <v>9</v>
      </c>
      <c r="L237">
        <v>1</v>
      </c>
      <c r="M237" s="12">
        <f t="shared" si="46"/>
        <v>0.36251720429182616</v>
      </c>
      <c r="N237" s="12">
        <f t="shared" si="46"/>
        <v>0.36662880331001718</v>
      </c>
      <c r="O237" s="12">
        <v>0.36491000000000001</v>
      </c>
      <c r="P237" s="12">
        <f t="shared" si="47"/>
        <v>0.35367125141527295</v>
      </c>
      <c r="Q237" s="12">
        <f t="shared" si="47"/>
        <v>0.34434696579918045</v>
      </c>
      <c r="R237" s="26">
        <v>17.149999999999999</v>
      </c>
      <c r="S237" s="5">
        <f t="shared" si="48"/>
        <v>1.0134846460320719</v>
      </c>
      <c r="T237" s="5">
        <f t="shared" si="49"/>
        <v>0.93360899971975964</v>
      </c>
      <c r="U237" s="5">
        <f>L237*((E$38/O237)-1)</f>
        <v>0.84908059521525847</v>
      </c>
      <c r="V237" s="5">
        <f t="shared" si="50"/>
        <v>0.7701518305001307</v>
      </c>
      <c r="W237" s="26">
        <f t="shared" si="51"/>
        <v>0.72129227056991829</v>
      </c>
    </row>
    <row r="238" spans="11:23" ht="18" customHeight="1">
      <c r="K238" s="32">
        <v>7</v>
      </c>
      <c r="L238">
        <v>1</v>
      </c>
      <c r="M238" s="12">
        <f t="shared" si="46"/>
        <v>0.27413765248960653</v>
      </c>
      <c r="N238" s="12">
        <f t="shared" si="46"/>
        <v>0.27704917403670437</v>
      </c>
      <c r="O238" s="12">
        <v>0.27895999999999999</v>
      </c>
      <c r="P238" s="12">
        <f t="shared" si="47"/>
        <v>0.27525652487793689</v>
      </c>
      <c r="Q238" s="12">
        <f t="shared" si="47"/>
        <v>0.26792820883075436</v>
      </c>
      <c r="R238" s="26">
        <v>18.09</v>
      </c>
      <c r="S238" s="5">
        <f t="shared" si="48"/>
        <v>1.1160416153770121</v>
      </c>
      <c r="T238" s="5">
        <f t="shared" si="49"/>
        <v>1.0296926879704977</v>
      </c>
      <c r="U238" s="5">
        <f>L238*((E$46/O238)-1)</f>
        <v>0.92031474046458284</v>
      </c>
      <c r="V238" s="5">
        <f t="shared" si="50"/>
        <v>0.8255719307834164</v>
      </c>
      <c r="W238" s="26">
        <f t="shared" si="51"/>
        <v>0.76513178448703645</v>
      </c>
    </row>
    <row r="239" spans="11:23" ht="18" customHeight="1">
      <c r="K239" s="32">
        <v>6</v>
      </c>
      <c r="L239">
        <v>1</v>
      </c>
      <c r="M239" s="12">
        <f t="shared" si="46"/>
        <v>0.23668842303364282</v>
      </c>
      <c r="N239" s="12">
        <f t="shared" si="46"/>
        <v>0.23962047730804509</v>
      </c>
      <c r="O239" s="12">
        <v>0.24562999999999999</v>
      </c>
      <c r="P239" s="12">
        <f t="shared" si="47"/>
        <v>0.24064114586601934</v>
      </c>
      <c r="Q239" s="12">
        <f t="shared" si="47"/>
        <v>0.23609941055346109</v>
      </c>
      <c r="R239" s="26">
        <v>15.71</v>
      </c>
      <c r="S239" s="5">
        <f t="shared" si="48"/>
        <v>1.1724166519864245</v>
      </c>
      <c r="T239" s="5">
        <f t="shared" si="49"/>
        <v>1.0796702023640052</v>
      </c>
      <c r="U239" s="5">
        <f>L239*((E$54/O239)-1)</f>
        <v>0.95322232626307857</v>
      </c>
      <c r="V239" s="5">
        <f t="shared" si="50"/>
        <v>0.85352457307448759</v>
      </c>
      <c r="W239" s="26">
        <f t="shared" si="51"/>
        <v>0.78383607523326804</v>
      </c>
    </row>
    <row r="240" spans="11:23" ht="18" customHeight="1">
      <c r="K240" s="32">
        <v>3</v>
      </c>
      <c r="L240">
        <v>1</v>
      </c>
      <c r="M240" s="12">
        <f t="shared" si="46"/>
        <v>0.14680575111631747</v>
      </c>
      <c r="N240" s="12">
        <f t="shared" si="46"/>
        <v>0.15279544311397028</v>
      </c>
      <c r="O240" s="12">
        <v>0.158224</v>
      </c>
      <c r="P240" s="12">
        <f t="shared" si="47"/>
        <v>0.1595350434324605</v>
      </c>
      <c r="Q240" s="12">
        <f t="shared" si="47"/>
        <v>0.15595554570621131</v>
      </c>
      <c r="R240" s="26">
        <v>14.51</v>
      </c>
      <c r="S240" s="5">
        <f t="shared" si="48"/>
        <v>1.4027817250763994</v>
      </c>
      <c r="T240" s="5">
        <f t="shared" si="49"/>
        <v>1.2586594294604065</v>
      </c>
      <c r="U240" s="5">
        <f>L240*((E$62/O240)-1)</f>
        <v>1.0822757609465059</v>
      </c>
      <c r="V240" s="5">
        <f t="shared" si="50"/>
        <v>0.93791336451364704</v>
      </c>
      <c r="W240" s="26">
        <f t="shared" si="51"/>
        <v>0.84788221443971601</v>
      </c>
    </row>
    <row r="241" spans="11:23" ht="18" customHeight="1">
      <c r="K241" s="32">
        <v>0</v>
      </c>
      <c r="L241">
        <v>1</v>
      </c>
      <c r="M241" s="12">
        <f t="shared" si="46"/>
        <v>8.5737868820651986E-2</v>
      </c>
      <c r="N241" s="12">
        <f t="shared" si="46"/>
        <v>9.1987377936016357E-2</v>
      </c>
      <c r="O241" s="12">
        <v>9.8278000000000004E-2</v>
      </c>
      <c r="P241" s="12">
        <f t="shared" si="47"/>
        <v>0.10165980967049013</v>
      </c>
      <c r="Q241" s="12">
        <f t="shared" si="47"/>
        <v>0.1009606681992837</v>
      </c>
      <c r="R241" s="26">
        <v>13.68</v>
      </c>
      <c r="S241" s="5">
        <f t="shared" si="48"/>
        <v>1.7886993186944968</v>
      </c>
      <c r="T241" s="5">
        <f t="shared" si="49"/>
        <v>1.519743879402248</v>
      </c>
      <c r="U241" s="5">
        <f>L241*((E$70/O241)-1)</f>
        <v>1.2471458515639311</v>
      </c>
      <c r="V241" s="5">
        <f t="shared" si="50"/>
        <v>1.0338390331211147</v>
      </c>
      <c r="W241" s="26">
        <f t="shared" si="51"/>
        <v>0.91084595564583437</v>
      </c>
    </row>
    <row r="242" spans="11:23" ht="18" customHeight="1">
      <c r="K242" s="32">
        <v>-3</v>
      </c>
      <c r="L242">
        <v>1</v>
      </c>
      <c r="M242" s="12">
        <f t="shared" si="46"/>
        <v>4.6654530257502151E-2</v>
      </c>
      <c r="N242" s="12">
        <f t="shared" si="46"/>
        <v>5.2782969703629175E-2</v>
      </c>
      <c r="O242" s="12">
        <v>5.9318999999999997E-2</v>
      </c>
      <c r="P242" s="12">
        <f t="shared" si="47"/>
        <v>6.3356885651240827E-2</v>
      </c>
      <c r="Q242" s="12">
        <f t="shared" si="47"/>
        <v>6.357609091807101E-2</v>
      </c>
      <c r="R242" s="26">
        <v>12.2</v>
      </c>
      <c r="S242" s="5">
        <f t="shared" si="48"/>
        <v>2.4688720947217342</v>
      </c>
      <c r="T242" s="5">
        <f t="shared" si="49"/>
        <v>1.9389235347955691</v>
      </c>
      <c r="U242" s="5">
        <f>L242*((E$78/O242)-1)</f>
        <v>1.4830661339537081</v>
      </c>
      <c r="V242" s="5">
        <f t="shared" si="50"/>
        <v>1.1611667972498174</v>
      </c>
      <c r="W242" s="26">
        <f t="shared" si="51"/>
        <v>0.99061964953154025</v>
      </c>
    </row>
    <row r="243" spans="11:23" ht="18" customHeight="1">
      <c r="K243" s="32">
        <v>-8</v>
      </c>
      <c r="L243">
        <v>1</v>
      </c>
      <c r="M243" s="12">
        <f t="shared" si="46"/>
        <v>1.3350287286605651E-2</v>
      </c>
      <c r="N243" s="12">
        <f t="shared" si="46"/>
        <v>1.7454816754783505E-2</v>
      </c>
      <c r="O243" s="12">
        <v>2.3347E-2</v>
      </c>
      <c r="P243" s="12">
        <f t="shared" si="47"/>
        <v>2.6877731292811988E-2</v>
      </c>
      <c r="Q243" s="12">
        <f t="shared" si="47"/>
        <v>2.7188392656360014E-2</v>
      </c>
      <c r="R243" s="26">
        <v>11.02</v>
      </c>
      <c r="S243" s="5">
        <f t="shared" si="48"/>
        <v>5.0090216737764148</v>
      </c>
      <c r="T243" s="5">
        <f t="shared" si="49"/>
        <v>3.3212191794582209</v>
      </c>
      <c r="U243" s="5">
        <f>L243*((E$86/O243)-1)</f>
        <v>2.0425750631772819</v>
      </c>
      <c r="V243" s="5">
        <f t="shared" si="50"/>
        <v>1.4086620472309774</v>
      </c>
      <c r="W243" s="26">
        <f t="shared" si="51"/>
        <v>1.1214862739249303</v>
      </c>
    </row>
    <row r="244" spans="11:23" ht="18" customHeight="1">
      <c r="K244" s="32">
        <v>-12</v>
      </c>
      <c r="L244">
        <v>1</v>
      </c>
      <c r="M244" s="12">
        <f t="shared" si="46"/>
        <v>3.9800559994606615E-3</v>
      </c>
      <c r="N244" s="12">
        <f t="shared" si="46"/>
        <v>6.543167051949377E-3</v>
      </c>
      <c r="O244" s="12">
        <v>1.0123E-2</v>
      </c>
      <c r="P244" s="12">
        <f t="shared" si="47"/>
        <v>1.2204492240891427E-2</v>
      </c>
      <c r="Q244" s="12">
        <f t="shared" si="47"/>
        <v>1.3087961811895272E-2</v>
      </c>
      <c r="R244" s="26">
        <v>11.07</v>
      </c>
      <c r="S244" s="5">
        <f t="shared" si="48"/>
        <v>9.4544439001927465</v>
      </c>
      <c r="T244" s="5">
        <f t="shared" si="49"/>
        <v>5.0688690316241658</v>
      </c>
      <c r="U244" s="5">
        <f>L244*((E$94/O244)-1)</f>
        <v>2.6027857354539172</v>
      </c>
      <c r="V244" s="5">
        <f t="shared" si="50"/>
        <v>1.6085786977144223</v>
      </c>
      <c r="W244" s="26">
        <f t="shared" si="51"/>
        <v>1.2048119136264996</v>
      </c>
    </row>
    <row r="245" spans="11:23" ht="18" customHeight="1">
      <c r="K245" s="32">
        <v>-17</v>
      </c>
      <c r="L245">
        <v>1</v>
      </c>
      <c r="M245" s="12">
        <f t="shared" si="46"/>
        <v>1.0023951118081269E-3</v>
      </c>
      <c r="N245" s="12">
        <f t="shared" si="46"/>
        <v>2.0682305086216985E-3</v>
      </c>
      <c r="O245" s="12">
        <v>3.5769999999999999E-3</v>
      </c>
      <c r="P245" s="12">
        <f t="shared" si="47"/>
        <v>4.6627157445192557E-3</v>
      </c>
      <c r="Q245" s="12">
        <f t="shared" si="47"/>
        <v>5.1446867925790587E-3</v>
      </c>
      <c r="R245" s="26">
        <v>12.5</v>
      </c>
      <c r="S245" s="5">
        <f t="shared" si="48"/>
        <v>16.673442032199404</v>
      </c>
      <c r="T245" s="5">
        <f t="shared" si="49"/>
        <v>7.0287856974924807</v>
      </c>
      <c r="U245" s="5">
        <f>L245*((E$102/O245)-1)</f>
        <v>3.1794800111825552</v>
      </c>
      <c r="V245" s="5">
        <f t="shared" si="50"/>
        <v>1.7642707824356982</v>
      </c>
      <c r="W245" s="26">
        <f t="shared" si="51"/>
        <v>1.2627881323848222</v>
      </c>
    </row>
    <row r="246" spans="11:23" ht="18" customHeight="1" thickBot="1">
      <c r="K246" s="33">
        <v>-20</v>
      </c>
      <c r="L246" s="34">
        <v>1</v>
      </c>
      <c r="M246" s="35">
        <f t="shared" si="46"/>
        <v>5.5976633241719561E-4</v>
      </c>
      <c r="N246" s="35">
        <f t="shared" si="46"/>
        <v>1.1626872613967453E-3</v>
      </c>
      <c r="O246" s="35">
        <v>2.0579999999999999E-3</v>
      </c>
      <c r="P246" s="35">
        <f t="shared" si="47"/>
        <v>2.7223038571231764E-3</v>
      </c>
      <c r="Q246" s="35">
        <f t="shared" si="47"/>
        <v>3.3552591716086888E-3</v>
      </c>
      <c r="R246" s="37">
        <v>11.4</v>
      </c>
      <c r="S246" s="38">
        <f>$L246*((M141/M246)-1)</f>
        <v>18.845049596422772</v>
      </c>
      <c r="T246" s="38">
        <f t="shared" si="49"/>
        <v>7.6893223623715539</v>
      </c>
      <c r="U246" s="38">
        <f>L246*((E$110/O246)-1)</f>
        <v>3.3814382896015553</v>
      </c>
      <c r="V246" s="38">
        <f t="shared" si="50"/>
        <v>1.8176584600529804</v>
      </c>
      <c r="W246" s="37">
        <f t="shared" si="51"/>
        <v>1.2796720964592594</v>
      </c>
    </row>
    <row r="247" spans="11:23" ht="18" customHeight="1"/>
    <row r="248" spans="11:23" ht="18" customHeight="1"/>
    <row r="249" spans="11:23" ht="18" customHeight="1"/>
    <row r="250" spans="11:23" ht="18" customHeight="1"/>
    <row r="251" spans="11:23" ht="18" customHeight="1"/>
    <row r="252" spans="11:23" ht="18" customHeight="1"/>
    <row r="253" spans="11:23" ht="18" customHeight="1"/>
    <row r="254" spans="11:23" ht="18" customHeight="1"/>
    <row r="255" spans="11:23" ht="18" customHeight="1"/>
    <row r="256" spans="11:23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</sheetData>
  <mergeCells count="10">
    <mergeCell ref="M126:Q126"/>
    <mergeCell ref="C4:G4"/>
    <mergeCell ref="M4:Q4"/>
    <mergeCell ref="B122:G122"/>
    <mergeCell ref="B123:G123"/>
    <mergeCell ref="C1:P1"/>
    <mergeCell ref="A119:G119"/>
    <mergeCell ref="B120:G120"/>
    <mergeCell ref="B121:G121"/>
    <mergeCell ref="B124:G124"/>
  </mergeCells>
  <phoneticPr fontId="0" type="noConversion"/>
  <printOptions gridLines="1"/>
  <pageMargins left="0" right="0" top="0.25" bottom="0.5" header="0" footer="0.5"/>
  <pageSetup scale="45" fitToHeight="49" orientation="landscape" r:id="rId1"/>
  <headerFooter alignWithMargins="0">
    <oddFooter>&amp;L&amp;F&amp;C&amp;T
&amp;A&amp;R&amp;A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DAAB-D9D5-467B-B3DE-14CACA84AF99}">
  <sheetPr>
    <pageSetUpPr fitToPage="1"/>
  </sheetPr>
  <dimension ref="A1:W40"/>
  <sheetViews>
    <sheetView zoomScale="25" workbookViewId="0">
      <selection activeCell="X43" sqref="A1:X43"/>
    </sheetView>
  </sheetViews>
  <sheetFormatPr defaultRowHeight="12.75"/>
  <cols>
    <col min="1" max="1" width="9.140625" style="3"/>
    <col min="2" max="2" width="10.42578125" style="3" customWidth="1"/>
    <col min="3" max="7" width="9.140625" style="3"/>
    <col min="8" max="8" width="11.140625" style="3" customWidth="1"/>
    <col min="9" max="9" width="10.140625" style="3" customWidth="1"/>
    <col min="10" max="12" width="9.140625" style="3"/>
    <col min="13" max="13" width="10.28515625" style="3" customWidth="1"/>
    <col min="14" max="14" width="9.140625" style="3"/>
    <col min="15" max="15" width="10.42578125" style="3" customWidth="1"/>
    <col min="16" max="16" width="12" style="3" customWidth="1"/>
    <col min="17" max="20" width="9.140625" style="3"/>
    <col min="21" max="21" width="14.42578125" style="3" customWidth="1"/>
    <col min="22" max="22" width="16" style="3" customWidth="1"/>
    <col min="23" max="16384" width="9.140625" style="3"/>
  </cols>
  <sheetData>
    <row r="1" spans="1:22" ht="55.5" customHeight="1" thickTop="1" thickBot="1">
      <c r="O1" s="9" t="s">
        <v>6</v>
      </c>
      <c r="P1" s="10" t="s">
        <v>7</v>
      </c>
      <c r="Q1" s="228" t="s">
        <v>71</v>
      </c>
      <c r="R1" s="229"/>
      <c r="S1" s="229"/>
      <c r="T1" s="229"/>
      <c r="U1" s="230"/>
      <c r="V1" s="11" t="s">
        <v>9</v>
      </c>
    </row>
    <row r="2" spans="1:22" s="2" customFormat="1" ht="40.5" customHeight="1" thickBot="1">
      <c r="A2" s="200" t="s">
        <v>72</v>
      </c>
      <c r="B2" s="60" t="s">
        <v>73</v>
      </c>
      <c r="C2" s="59" t="s">
        <v>39</v>
      </c>
      <c r="D2" s="60" t="s">
        <v>40</v>
      </c>
      <c r="E2" s="60" t="s">
        <v>41</v>
      </c>
      <c r="F2" s="60" t="s">
        <v>42</v>
      </c>
      <c r="G2" s="62" t="s">
        <v>43</v>
      </c>
      <c r="H2" s="60" t="s">
        <v>55</v>
      </c>
      <c r="I2" s="59" t="s">
        <v>74</v>
      </c>
      <c r="J2" s="60" t="s">
        <v>75</v>
      </c>
      <c r="K2" s="60" t="s">
        <v>76</v>
      </c>
      <c r="L2" s="60" t="s">
        <v>77</v>
      </c>
      <c r="M2" s="201" t="s">
        <v>78</v>
      </c>
      <c r="O2" s="6" t="s">
        <v>11</v>
      </c>
      <c r="P2" s="7" t="s">
        <v>12</v>
      </c>
      <c r="Q2" s="7" t="s">
        <v>35</v>
      </c>
      <c r="R2" s="7" t="s">
        <v>36</v>
      </c>
      <c r="S2" s="7" t="s">
        <v>15</v>
      </c>
      <c r="T2" s="7" t="s">
        <v>37</v>
      </c>
      <c r="U2" s="7" t="s">
        <v>38</v>
      </c>
      <c r="V2" s="8" t="s">
        <v>20</v>
      </c>
    </row>
    <row r="3" spans="1:22" ht="13.5" thickTop="1">
      <c r="A3" s="192">
        <v>18</v>
      </c>
      <c r="B3" s="22">
        <v>5</v>
      </c>
      <c r="C3" s="189">
        <v>1.5608401058921824</v>
      </c>
      <c r="D3" s="20">
        <v>1.5053710210132492</v>
      </c>
      <c r="E3" s="20">
        <v>1.4204000000000001</v>
      </c>
      <c r="F3" s="20">
        <v>1.3306354953880253</v>
      </c>
      <c r="G3" s="190">
        <v>1.2144144362565408</v>
      </c>
      <c r="H3" s="22">
        <v>24.69</v>
      </c>
      <c r="I3" s="191">
        <v>0.65176773053009285</v>
      </c>
      <c r="J3" s="188">
        <v>0.62853491662427152</v>
      </c>
      <c r="K3" s="188">
        <v>0.60546324978879129</v>
      </c>
      <c r="L3" s="188">
        <v>0.58295509075562801</v>
      </c>
      <c r="M3" s="193">
        <v>0.57225783216221182</v>
      </c>
      <c r="O3" s="86">
        <v>18</v>
      </c>
      <c r="P3" s="64">
        <v>10000</v>
      </c>
      <c r="Q3" s="85">
        <v>1.7643011485997218</v>
      </c>
      <c r="R3" s="85">
        <v>1.6946066708494807</v>
      </c>
      <c r="S3" s="85">
        <v>1.5924</v>
      </c>
      <c r="T3" s="85">
        <v>1.4857756425833426</v>
      </c>
      <c r="U3" s="85">
        <v>1.3534060707842732</v>
      </c>
      <c r="V3" s="65">
        <v>26.28</v>
      </c>
    </row>
    <row r="4" spans="1:22">
      <c r="A4" s="192">
        <v>15</v>
      </c>
      <c r="B4" s="22">
        <v>5</v>
      </c>
      <c r="C4" s="189">
        <v>1.1632473231712448</v>
      </c>
      <c r="D4" s="20">
        <v>1.1299829321599979</v>
      </c>
      <c r="E4" s="20">
        <v>1.0737399999999999</v>
      </c>
      <c r="F4" s="20">
        <v>0.99948697180028656</v>
      </c>
      <c r="G4" s="190">
        <v>0.95559925347815089</v>
      </c>
      <c r="H4" s="22">
        <v>22.46</v>
      </c>
      <c r="I4" s="191">
        <v>0.8306684430285205</v>
      </c>
      <c r="J4" s="188">
        <v>0.76099045151307609</v>
      </c>
      <c r="K4" s="188">
        <v>0.68107735578445516</v>
      </c>
      <c r="L4" s="188">
        <v>0.65509165129974734</v>
      </c>
      <c r="M4" s="193">
        <v>0.62649769791366272</v>
      </c>
      <c r="O4" s="32">
        <v>15</v>
      </c>
      <c r="P4" s="22">
        <v>10000</v>
      </c>
      <c r="Q4" s="20">
        <v>1.3565018917303953</v>
      </c>
      <c r="R4" s="20">
        <v>1.3019641765092991</v>
      </c>
      <c r="S4" s="20">
        <v>1.2242999999999999</v>
      </c>
      <c r="T4" s="20">
        <v>1.1304380859621332</v>
      </c>
      <c r="U4" s="20">
        <v>1.0753353999645661</v>
      </c>
      <c r="V4" s="26">
        <v>23.96</v>
      </c>
    </row>
    <row r="5" spans="1:22">
      <c r="A5" s="192">
        <v>13</v>
      </c>
      <c r="B5" s="22">
        <v>5</v>
      </c>
      <c r="C5" s="189">
        <v>0.93424125077319997</v>
      </c>
      <c r="D5" s="20">
        <v>0.91569123719348477</v>
      </c>
      <c r="E5" s="20">
        <v>0.87464900000000001</v>
      </c>
      <c r="F5" s="20">
        <v>0.82393354424999521</v>
      </c>
      <c r="G5" s="190">
        <v>0.78521435308498033</v>
      </c>
      <c r="H5" s="22">
        <v>21.24</v>
      </c>
      <c r="I5" s="191">
        <v>0.96156732342834284</v>
      </c>
      <c r="J5" s="188">
        <v>0.86453421044981438</v>
      </c>
      <c r="K5" s="188">
        <v>0.77540247573598009</v>
      </c>
      <c r="L5" s="188">
        <v>0.70812968392310105</v>
      </c>
      <c r="M5" s="193">
        <v>0.66097645258131776</v>
      </c>
      <c r="O5" s="32">
        <v>13</v>
      </c>
      <c r="P5" s="3">
        <v>10000</v>
      </c>
      <c r="Q5" s="12">
        <v>1.1139084225616667</v>
      </c>
      <c r="R5" s="12">
        <v>1.0740205173460613</v>
      </c>
      <c r="S5" s="12">
        <v>1.0102899999999999</v>
      </c>
      <c r="T5" s="12">
        <v>0.94062390430267306</v>
      </c>
      <c r="U5" s="12">
        <v>0.88901599260858932</v>
      </c>
      <c r="V5" s="26">
        <v>23.3</v>
      </c>
    </row>
    <row r="6" spans="1:22">
      <c r="A6" s="192">
        <v>12</v>
      </c>
      <c r="B6" s="22">
        <v>5</v>
      </c>
      <c r="C6" s="189">
        <v>0.83394313750720983</v>
      </c>
      <c r="D6" s="20">
        <v>0.82079247455149051</v>
      </c>
      <c r="E6" s="20">
        <v>0.78478999999999999</v>
      </c>
      <c r="F6" s="20">
        <v>0.74645572205663668</v>
      </c>
      <c r="G6" s="190">
        <v>0.71061258259331372</v>
      </c>
      <c r="H6" s="22">
        <v>21.15</v>
      </c>
      <c r="I6" s="191">
        <v>1.0317094028094365</v>
      </c>
      <c r="J6" s="188">
        <v>0.92866483132494126</v>
      </c>
      <c r="K6" s="188">
        <v>0.83092929318671294</v>
      </c>
      <c r="L6" s="188">
        <v>0.73155823349876026</v>
      </c>
      <c r="M6" s="193">
        <v>0.68588831547593987</v>
      </c>
      <c r="O6" s="32">
        <v>12</v>
      </c>
      <c r="P6" s="3">
        <v>10000</v>
      </c>
      <c r="Q6" s="12">
        <v>1.0060205327821281</v>
      </c>
      <c r="R6" s="12">
        <v>0.97324069553791881</v>
      </c>
      <c r="S6" s="12">
        <v>0.915211</v>
      </c>
      <c r="T6" s="12">
        <v>0.85567088793919566</v>
      </c>
      <c r="U6" s="12">
        <v>0.8080927560395007</v>
      </c>
      <c r="V6" s="26">
        <v>22.66</v>
      </c>
    </row>
    <row r="7" spans="1:22">
      <c r="A7" s="192">
        <v>9</v>
      </c>
      <c r="B7" s="22">
        <v>5</v>
      </c>
      <c r="C7" s="189">
        <v>0.58029965669658468</v>
      </c>
      <c r="D7" s="20">
        <v>0.57935740072332098</v>
      </c>
      <c r="E7" s="20">
        <v>0.56611299999999998</v>
      </c>
      <c r="F7" s="20">
        <v>0.5366208149782451</v>
      </c>
      <c r="G7" s="190">
        <v>0.51409863462834271</v>
      </c>
      <c r="H7" s="22">
        <v>18.420000000000002</v>
      </c>
      <c r="I7" s="191">
        <v>1.2891888383944983</v>
      </c>
      <c r="J7" s="188">
        <v>1.1181297826838876</v>
      </c>
      <c r="K7" s="188">
        <v>0.95948158759823654</v>
      </c>
      <c r="L7" s="188">
        <v>0.83327925057657182</v>
      </c>
      <c r="M7" s="193">
        <v>0.76466976082157467</v>
      </c>
      <c r="O7" s="32">
        <v>9</v>
      </c>
      <c r="P7" s="3">
        <v>10000</v>
      </c>
      <c r="Q7" s="12">
        <v>0.72992282476406389</v>
      </c>
      <c r="R7" s="12">
        <v>0.70891675363673479</v>
      </c>
      <c r="S7" s="12">
        <v>0.67474800000000001</v>
      </c>
      <c r="T7" s="12">
        <v>0.62605181308801738</v>
      </c>
      <c r="U7" s="12">
        <v>0.59272177062433329</v>
      </c>
      <c r="V7" s="26">
        <v>19.95</v>
      </c>
    </row>
    <row r="8" spans="1:22">
      <c r="A8" s="192">
        <v>7</v>
      </c>
      <c r="B8" s="22">
        <v>5</v>
      </c>
      <c r="C8" s="189">
        <v>0.44601282412838889</v>
      </c>
      <c r="D8" s="20">
        <v>0.44644071586392536</v>
      </c>
      <c r="E8" s="20">
        <v>0.44091000000000002</v>
      </c>
      <c r="F8" s="20">
        <v>0.42482740088028115</v>
      </c>
      <c r="G8" s="190">
        <v>0.40591131398838365</v>
      </c>
      <c r="H8" s="22">
        <v>19.21</v>
      </c>
      <c r="I8" s="191">
        <v>1.5030269268982466</v>
      </c>
      <c r="J8" s="188">
        <v>1.2978651226108218</v>
      </c>
      <c r="K8" s="188">
        <v>1.0748338663219248</v>
      </c>
      <c r="L8" s="188">
        <v>0.91417343303329401</v>
      </c>
      <c r="M8" s="193">
        <v>0.82551632671883479</v>
      </c>
      <c r="O8" s="32">
        <v>7</v>
      </c>
      <c r="P8" s="3">
        <v>10000</v>
      </c>
      <c r="Q8" s="12">
        <v>0.58008668100976901</v>
      </c>
      <c r="R8" s="12">
        <v>0.56232468275056469</v>
      </c>
      <c r="S8" s="12">
        <v>0.53569100000000003</v>
      </c>
      <c r="T8" s="12">
        <v>0.50250058558214872</v>
      </c>
      <c r="U8" s="12">
        <v>0.47292859736784482</v>
      </c>
      <c r="V8" s="26">
        <v>20.88</v>
      </c>
    </row>
    <row r="9" spans="1:22">
      <c r="A9" s="192">
        <v>6</v>
      </c>
      <c r="B9" s="22">
        <v>5</v>
      </c>
      <c r="C9" s="189">
        <v>0.38829093229020734</v>
      </c>
      <c r="D9" s="20">
        <v>0.38972451284572523</v>
      </c>
      <c r="E9" s="20">
        <v>0.39111000000000001</v>
      </c>
      <c r="F9" s="20">
        <v>0.37465084898406231</v>
      </c>
      <c r="G9" s="190">
        <v>0.36020936198767628</v>
      </c>
      <c r="H9" s="22">
        <v>16.87</v>
      </c>
      <c r="I9" s="191">
        <v>1.6211418909261577</v>
      </c>
      <c r="J9" s="188">
        <v>1.393382377913821</v>
      </c>
      <c r="K9" s="188">
        <v>1.1334407200020447</v>
      </c>
      <c r="L9" s="188">
        <v>0.95266604046109316</v>
      </c>
      <c r="M9" s="193">
        <v>0.84608133950975883</v>
      </c>
      <c r="O9" s="32">
        <v>6</v>
      </c>
      <c r="P9" s="3">
        <v>10000</v>
      </c>
      <c r="Q9" s="12">
        <v>0.51418587153069284</v>
      </c>
      <c r="R9" s="12">
        <v>0.49833156653378163</v>
      </c>
      <c r="S9" s="12">
        <v>0.47976999999999997</v>
      </c>
      <c r="T9" s="12">
        <v>0.44603427715546901</v>
      </c>
      <c r="U9" s="12">
        <v>0.42116264588657404</v>
      </c>
      <c r="V9" s="26">
        <v>18.38</v>
      </c>
    </row>
    <row r="10" spans="1:22">
      <c r="A10" s="192">
        <v>3</v>
      </c>
      <c r="B10" s="22">
        <v>5</v>
      </c>
      <c r="C10" s="189">
        <v>0.24904909019389773</v>
      </c>
      <c r="D10" s="20">
        <v>0.25659345201134653</v>
      </c>
      <c r="E10" s="20">
        <v>0.25968999999999998</v>
      </c>
      <c r="F10" s="20">
        <v>0.25442553133833568</v>
      </c>
      <c r="G10" s="190">
        <v>0.24314516933982069</v>
      </c>
      <c r="H10" s="22">
        <v>15.74</v>
      </c>
      <c r="I10" s="191">
        <v>2.0817800547629717</v>
      </c>
      <c r="J10" s="188">
        <v>1.7248962446767602</v>
      </c>
      <c r="K10" s="188">
        <v>1.3434479571797142</v>
      </c>
      <c r="L10" s="188">
        <v>1.0757481992815776</v>
      </c>
      <c r="M10" s="193">
        <v>0.92624315622277686</v>
      </c>
      <c r="O10" s="32">
        <v>3</v>
      </c>
      <c r="P10" s="3">
        <v>10000</v>
      </c>
      <c r="Q10" s="12">
        <v>0.35274217591840185</v>
      </c>
      <c r="R10" s="12">
        <v>0.34511286836795013</v>
      </c>
      <c r="S10" s="12">
        <v>0.32946599999999998</v>
      </c>
      <c r="T10" s="12">
        <v>0.30916509277603033</v>
      </c>
      <c r="U10" s="12">
        <v>0.28818747915374809</v>
      </c>
      <c r="V10" s="26">
        <v>17.27</v>
      </c>
    </row>
    <row r="11" spans="1:22">
      <c r="A11" s="192">
        <v>0</v>
      </c>
      <c r="B11" s="22">
        <v>5</v>
      </c>
      <c r="C11" s="189">
        <v>0.153125683519588</v>
      </c>
      <c r="D11" s="20">
        <v>0.16160355438681623</v>
      </c>
      <c r="E11" s="20">
        <v>0.16745599999999999</v>
      </c>
      <c r="F11" s="20">
        <v>0.16670362418273593</v>
      </c>
      <c r="G11" s="190">
        <v>0.16058795535706047</v>
      </c>
      <c r="H11" s="22">
        <v>15.34</v>
      </c>
      <c r="I11" s="191">
        <v>2.8072185825013731</v>
      </c>
      <c r="J11" s="188">
        <v>2.1713964898858631</v>
      </c>
      <c r="K11" s="188">
        <v>1.594120246512517</v>
      </c>
      <c r="L11" s="188">
        <v>1.2014155367390777</v>
      </c>
      <c r="M11" s="193">
        <v>1.0066859958130814</v>
      </c>
      <c r="O11" s="32">
        <v>0</v>
      </c>
      <c r="P11" s="3">
        <v>10000</v>
      </c>
      <c r="Q11" s="12">
        <v>0.23909713636647034</v>
      </c>
      <c r="R11" s="12">
        <v>0.23178463253653861</v>
      </c>
      <c r="S11" s="12">
        <v>0.22084500000000001</v>
      </c>
      <c r="T11" s="12">
        <v>0.20675968900750619</v>
      </c>
      <c r="U11" s="12">
        <v>0.19292028450790227</v>
      </c>
      <c r="V11" s="26">
        <v>17.05</v>
      </c>
    </row>
    <row r="12" spans="1:22">
      <c r="A12" s="192">
        <v>-3</v>
      </c>
      <c r="B12" s="22">
        <v>5</v>
      </c>
      <c r="C12" s="189">
        <v>9.0908994531652104E-2</v>
      </c>
      <c r="D12" s="20">
        <v>9.9679730337256578E-2</v>
      </c>
      <c r="E12" s="20">
        <v>0.106735</v>
      </c>
      <c r="F12" s="20">
        <v>0.10784669844887886</v>
      </c>
      <c r="G12" s="190">
        <v>0.10385008454269024</v>
      </c>
      <c r="H12" s="22">
        <v>13.9</v>
      </c>
      <c r="I12" s="191">
        <v>3.9011323321947033</v>
      </c>
      <c r="J12" s="188">
        <v>2.781176342148334</v>
      </c>
      <c r="K12" s="188">
        <v>1.899939101513094</v>
      </c>
      <c r="L12" s="188">
        <v>1.3481218996944866</v>
      </c>
      <c r="M12" s="193">
        <v>1.09319753465833</v>
      </c>
      <c r="O12" s="32">
        <v>-3</v>
      </c>
      <c r="P12" s="3">
        <v>10000</v>
      </c>
      <c r="Q12" s="12">
        <v>0.16183859810260001</v>
      </c>
      <c r="R12" s="12">
        <v>0.15512511189839728</v>
      </c>
      <c r="S12" s="12">
        <v>0.14729300000000001</v>
      </c>
      <c r="T12" s="12">
        <v>0.13692479764661505</v>
      </c>
      <c r="U12" s="12">
        <v>0.12655581582191586</v>
      </c>
      <c r="V12" s="26">
        <v>15.5</v>
      </c>
    </row>
    <row r="13" spans="1:22">
      <c r="A13" s="192">
        <v>-8</v>
      </c>
      <c r="B13" s="22">
        <v>5</v>
      </c>
      <c r="C13" s="189">
        <v>3.3451979781015405E-2</v>
      </c>
      <c r="D13" s="20">
        <v>4.010271726128372E-2</v>
      </c>
      <c r="E13" s="20">
        <v>4.7433000000000003E-2</v>
      </c>
      <c r="F13" s="20">
        <v>4.9172286552456167E-2</v>
      </c>
      <c r="G13" s="190">
        <v>4.6468092264243498E-2</v>
      </c>
      <c r="H13" s="22">
        <v>12.66</v>
      </c>
      <c r="I13" s="191">
        <v>6.9906454239044162</v>
      </c>
      <c r="J13" s="188">
        <v>4.4041120010984427</v>
      </c>
      <c r="K13" s="188">
        <v>2.487930343853435</v>
      </c>
      <c r="L13" s="188">
        <v>1.5829124309285236</v>
      </c>
      <c r="M13" s="193">
        <v>1.2063879772112884</v>
      </c>
      <c r="O13" s="80">
        <v>-8</v>
      </c>
      <c r="P13" s="3">
        <v>10000</v>
      </c>
      <c r="Q13" s="12">
        <v>8.0222165656355079E-2</v>
      </c>
      <c r="R13" s="12">
        <v>7.5426088934699181E-2</v>
      </c>
      <c r="S13" s="12">
        <v>7.1035000000000001E-2</v>
      </c>
      <c r="T13" s="12">
        <v>6.4739371280668631E-2</v>
      </c>
      <c r="U13" s="12">
        <v>5.7679801830549139E-2</v>
      </c>
      <c r="V13" s="26">
        <v>13.82</v>
      </c>
    </row>
    <row r="14" spans="1:22">
      <c r="A14" s="192">
        <v>-12</v>
      </c>
      <c r="B14" s="22">
        <v>5</v>
      </c>
      <c r="C14" s="189">
        <v>1.2896991450774517E-2</v>
      </c>
      <c r="D14" s="20">
        <v>1.8068652202774711E-2</v>
      </c>
      <c r="E14" s="20">
        <v>2.2915000000000001E-2</v>
      </c>
      <c r="F14" s="20">
        <v>2.3630318480600425E-2</v>
      </c>
      <c r="G14" s="190">
        <v>2.3027631111612136E-2</v>
      </c>
      <c r="H14" s="22">
        <v>12.21</v>
      </c>
      <c r="I14" s="191">
        <v>11.131387046662056</v>
      </c>
      <c r="J14" s="188">
        <v>5.9885406627676296</v>
      </c>
      <c r="K14" s="188">
        <v>2.9578878463888278</v>
      </c>
      <c r="L14" s="188">
        <v>1.7363413874736322</v>
      </c>
      <c r="M14" s="193">
        <v>1.2656236735970439</v>
      </c>
      <c r="O14" s="32">
        <v>-12</v>
      </c>
      <c r="P14" s="3">
        <v>10000</v>
      </c>
      <c r="Q14" s="12">
        <v>4.160927216598706E-2</v>
      </c>
      <c r="R14" s="12">
        <v>3.9709623890319165E-2</v>
      </c>
      <c r="S14" s="12">
        <v>3.6471000000000003E-2</v>
      </c>
      <c r="T14" s="12">
        <v>3.1836378476010334E-2</v>
      </c>
      <c r="U14" s="12">
        <v>2.8856494127955361E-2</v>
      </c>
      <c r="V14" s="26">
        <v>12.91</v>
      </c>
    </row>
    <row r="15" spans="1:22">
      <c r="A15" s="192">
        <v>-17</v>
      </c>
      <c r="B15" s="22">
        <v>5</v>
      </c>
      <c r="C15" s="189">
        <v>3.9588470625709291E-3</v>
      </c>
      <c r="D15" s="20">
        <v>6.6244753886281959E-3</v>
      </c>
      <c r="E15" s="20">
        <v>8.9269999999999992E-3</v>
      </c>
      <c r="F15" s="20">
        <v>9.4284319914798888E-3</v>
      </c>
      <c r="G15" s="190">
        <v>9.2480346893710017E-3</v>
      </c>
      <c r="H15" s="22">
        <v>13.23</v>
      </c>
      <c r="I15" s="191">
        <v>17.374913228393453</v>
      </c>
      <c r="J15" s="188">
        <v>7.5333543809709536</v>
      </c>
      <c r="K15" s="188">
        <v>3.3734737313767225</v>
      </c>
      <c r="L15" s="188">
        <v>1.8351815609556243</v>
      </c>
      <c r="M15" s="193">
        <v>1.2939514232491522</v>
      </c>
      <c r="O15" s="32">
        <v>-17</v>
      </c>
      <c r="P15" s="3">
        <v>10000</v>
      </c>
      <c r="Q15" s="12">
        <v>1.7715771901900969E-2</v>
      </c>
      <c r="R15" s="12">
        <v>1.6605379526739492E-2</v>
      </c>
      <c r="S15" s="12">
        <v>1.495E-2</v>
      </c>
      <c r="T15" s="12">
        <v>1.2889008899377491E-2</v>
      </c>
      <c r="U15" s="12">
        <v>1.1641336219084831E-2</v>
      </c>
      <c r="V15" s="26">
        <v>13.66</v>
      </c>
    </row>
    <row r="16" spans="1:22" ht="13.5" thickBot="1">
      <c r="A16" s="194">
        <v>-20</v>
      </c>
      <c r="B16" s="36">
        <v>5</v>
      </c>
      <c r="C16" s="195">
        <v>2.3191878989774748E-3</v>
      </c>
      <c r="D16" s="35">
        <v>3.9077301443492182E-3</v>
      </c>
      <c r="E16" s="35">
        <v>5.2960000000000004E-3</v>
      </c>
      <c r="F16" s="35">
        <v>5.5882488270019249E-3</v>
      </c>
      <c r="G16" s="196">
        <v>6.0717310343197245E-3</v>
      </c>
      <c r="H16" s="36">
        <v>11.96</v>
      </c>
      <c r="I16" s="197">
        <v>18.94931138206757</v>
      </c>
      <c r="J16" s="198">
        <v>7.9268962386114268</v>
      </c>
      <c r="K16" s="198">
        <v>3.5130287009063443</v>
      </c>
      <c r="L16" s="198">
        <v>1.8630824533033408</v>
      </c>
      <c r="M16" s="199">
        <v>1.2987726783934506</v>
      </c>
      <c r="O16" s="32">
        <v>-20</v>
      </c>
      <c r="P16" s="3">
        <v>10000</v>
      </c>
      <c r="Q16" s="12">
        <v>1.1108590629226922E-2</v>
      </c>
      <c r="R16" s="12">
        <v>1.010296442089928E-2</v>
      </c>
      <c r="S16" s="12">
        <v>9.0170000000000007E-3</v>
      </c>
      <c r="T16" s="12">
        <v>7.6705224938579779E-3</v>
      </c>
      <c r="U16" s="12">
        <v>7.6488907099053378E-3</v>
      </c>
      <c r="V16" s="26">
        <v>12.23</v>
      </c>
    </row>
    <row r="17" spans="1:23" ht="13.5" thickBot="1">
      <c r="A17" s="22"/>
      <c r="B17" s="22"/>
      <c r="C17" s="20"/>
      <c r="D17" s="20"/>
      <c r="E17" s="20"/>
      <c r="F17" s="20"/>
      <c r="G17" s="20"/>
      <c r="H17" s="22"/>
      <c r="I17" s="188"/>
      <c r="J17" s="188"/>
      <c r="K17" s="188"/>
      <c r="L17" s="188"/>
      <c r="M17" s="188"/>
      <c r="O17" s="202"/>
      <c r="Q17" s="12"/>
      <c r="R17" s="12"/>
      <c r="S17" s="12"/>
      <c r="T17" s="12"/>
      <c r="U17" s="12"/>
      <c r="V17" s="19"/>
    </row>
    <row r="18" spans="1:23" ht="13.5" thickBot="1">
      <c r="M18" s="174"/>
      <c r="N18" s="175"/>
      <c r="O18" s="176"/>
      <c r="P18" s="177"/>
      <c r="Q18" s="178"/>
      <c r="R18" s="178"/>
      <c r="S18" s="178"/>
      <c r="T18" s="178"/>
      <c r="U18" s="178"/>
      <c r="V18" s="179"/>
      <c r="W18" s="180"/>
    </row>
    <row r="19" spans="1:23" ht="14.25" thickTop="1" thickBot="1">
      <c r="A19" s="232" t="s">
        <v>79</v>
      </c>
      <c r="B19" s="233"/>
      <c r="C19" s="233"/>
      <c r="D19" s="233"/>
      <c r="E19" s="233"/>
      <c r="F19" s="233"/>
      <c r="G19" s="234"/>
      <c r="H19" s="235" t="s">
        <v>80</v>
      </c>
      <c r="I19" s="236"/>
      <c r="J19" s="236"/>
      <c r="K19" s="236"/>
      <c r="L19" s="236"/>
      <c r="M19" s="181"/>
      <c r="N19" s="170"/>
      <c r="O19" s="170"/>
      <c r="P19" s="170"/>
      <c r="Q19" s="170"/>
      <c r="R19" s="170"/>
      <c r="S19" s="170"/>
      <c r="T19" s="170"/>
      <c r="U19" s="170"/>
      <c r="V19" s="170"/>
      <c r="W19" s="182"/>
    </row>
    <row r="20" spans="1:23" ht="39" customHeight="1" thickTop="1" thickBot="1">
      <c r="A20" s="98" t="s">
        <v>72</v>
      </c>
      <c r="B20" s="99" t="s">
        <v>55</v>
      </c>
      <c r="C20" s="98" t="s">
        <v>81</v>
      </c>
      <c r="D20" s="100" t="s">
        <v>82</v>
      </c>
      <c r="E20" s="100" t="s">
        <v>41</v>
      </c>
      <c r="F20" s="100" t="s">
        <v>42</v>
      </c>
      <c r="G20" s="99" t="s">
        <v>43</v>
      </c>
      <c r="H20" s="98" t="s">
        <v>83</v>
      </c>
      <c r="I20" s="100" t="s">
        <v>84</v>
      </c>
      <c r="J20" s="100" t="s">
        <v>85</v>
      </c>
      <c r="K20" s="100" t="s">
        <v>86</v>
      </c>
      <c r="L20" s="100" t="s">
        <v>87</v>
      </c>
      <c r="M20" s="181"/>
      <c r="N20" s="170"/>
      <c r="O20" s="170"/>
      <c r="P20" s="170"/>
      <c r="Q20" s="170"/>
      <c r="R20" s="170"/>
      <c r="S20" s="170"/>
      <c r="T20" s="170"/>
      <c r="U20" s="170"/>
      <c r="V20" s="170"/>
      <c r="W20" s="182"/>
    </row>
    <row r="21" spans="1:23" ht="30" customHeight="1">
      <c r="A21" s="240" t="s">
        <v>88</v>
      </c>
      <c r="B21" s="241"/>
      <c r="C21" s="88">
        <f>Q38</f>
        <v>15</v>
      </c>
      <c r="D21" s="22">
        <f>R38</f>
        <v>7</v>
      </c>
      <c r="E21" s="22">
        <f>S38</f>
        <v>5</v>
      </c>
      <c r="F21" s="22">
        <f>T38</f>
        <v>5</v>
      </c>
      <c r="G21" s="89">
        <f>U38</f>
        <v>8</v>
      </c>
      <c r="H21" s="88"/>
      <c r="I21" s="22"/>
      <c r="J21" s="22"/>
      <c r="K21" s="22"/>
      <c r="L21" s="22"/>
      <c r="M21" s="181"/>
      <c r="N21" s="170"/>
      <c r="O21" s="170"/>
      <c r="P21" s="170"/>
      <c r="Q21" s="170"/>
      <c r="R21" s="170"/>
      <c r="S21" s="170"/>
      <c r="T21" s="170"/>
      <c r="U21" s="170"/>
      <c r="V21" s="170"/>
      <c r="W21" s="182"/>
    </row>
    <row r="22" spans="1:23">
      <c r="A22" s="88">
        <v>18</v>
      </c>
      <c r="B22" s="89">
        <v>24.69</v>
      </c>
      <c r="C22" s="92">
        <f t="shared" ref="C22:C35" si="0">Q3*($Q$38/(I3+$Q$38))</f>
        <v>1.6908324787732796</v>
      </c>
      <c r="D22" s="20">
        <f t="shared" ref="D22:D35" si="1">R3*($R$38/(J3+$R$38))</f>
        <v>1.5549836011231848</v>
      </c>
      <c r="E22" s="20">
        <f t="shared" ref="E22:E35" si="2">S3*($S$38/(K3+$S$38))</f>
        <v>1.4204000000000003</v>
      </c>
      <c r="F22" s="20">
        <f t="shared" ref="F22:F35" si="3">T3*($T$38/(L3+$T$38))</f>
        <v>1.3306354953880253</v>
      </c>
      <c r="G22" s="93">
        <f t="shared" ref="G22:G35" si="4">U3*($U$38/(M3+$U$38))</f>
        <v>1.2630568023340929</v>
      </c>
      <c r="H22" s="96">
        <f>$B22*LOG(C22/$E22,10)</f>
        <v>1.8687840719719555</v>
      </c>
      <c r="I22" s="19">
        <f t="shared" ref="I22:L35" si="5">$B22*LOG(D22/$E22,10)</f>
        <v>0.97069104565609965</v>
      </c>
      <c r="J22" s="19">
        <f t="shared" si="5"/>
        <v>0</v>
      </c>
      <c r="K22" s="19">
        <f t="shared" si="5"/>
        <v>-0.70000000000000173</v>
      </c>
      <c r="L22" s="19">
        <f t="shared" si="5"/>
        <v>-1.258888325092959</v>
      </c>
      <c r="M22" s="181"/>
      <c r="N22" s="170"/>
      <c r="O22" s="170"/>
      <c r="P22" s="170"/>
      <c r="Q22" s="170"/>
      <c r="R22" s="170"/>
      <c r="S22" s="170"/>
      <c r="T22" s="170"/>
      <c r="U22" s="170"/>
      <c r="V22" s="170"/>
      <c r="W22" s="182"/>
    </row>
    <row r="23" spans="1:23">
      <c r="A23" s="88">
        <v>15</v>
      </c>
      <c r="B23" s="89">
        <v>22.46</v>
      </c>
      <c r="C23" s="92">
        <f t="shared" si="0"/>
        <v>1.2853233866392126</v>
      </c>
      <c r="D23" s="20">
        <f t="shared" si="1"/>
        <v>1.1743023384068569</v>
      </c>
      <c r="E23" s="20">
        <f t="shared" si="2"/>
        <v>1.0775244934426227</v>
      </c>
      <c r="F23" s="20">
        <f t="shared" si="3"/>
        <v>0.99948697180028656</v>
      </c>
      <c r="G23" s="93">
        <f t="shared" si="4"/>
        <v>0.99723937813107</v>
      </c>
      <c r="H23" s="96">
        <f t="shared" ref="H23:H35" si="6">$B23*LOG(C23/$E23,10)</f>
        <v>1.7201049098486059</v>
      </c>
      <c r="I23" s="19">
        <f t="shared" si="5"/>
        <v>0.83894332005314165</v>
      </c>
      <c r="J23" s="19">
        <f t="shared" si="5"/>
        <v>0</v>
      </c>
      <c r="K23" s="19">
        <f t="shared" si="5"/>
        <v>-0.73331930265643652</v>
      </c>
      <c r="L23" s="19">
        <f t="shared" si="5"/>
        <v>-0.75527885554304197</v>
      </c>
      <c r="M23" s="181"/>
      <c r="N23" s="170"/>
      <c r="O23" s="170"/>
      <c r="P23" s="170"/>
      <c r="Q23" s="170"/>
      <c r="R23" s="170"/>
      <c r="S23" s="170"/>
      <c r="T23" s="170"/>
      <c r="U23" s="170"/>
      <c r="V23" s="170"/>
      <c r="W23" s="182"/>
    </row>
    <row r="24" spans="1:23">
      <c r="A24" s="88">
        <v>13</v>
      </c>
      <c r="B24" s="89">
        <v>21.24</v>
      </c>
      <c r="C24" s="92">
        <f t="shared" si="0"/>
        <v>1.0468036126941072</v>
      </c>
      <c r="D24" s="20">
        <f t="shared" si="1"/>
        <v>0.95595535860634606</v>
      </c>
      <c r="E24" s="20">
        <f t="shared" si="2"/>
        <v>0.87464900000000001</v>
      </c>
      <c r="F24" s="20">
        <f t="shared" si="3"/>
        <v>0.82393354424999521</v>
      </c>
      <c r="G24" s="93">
        <f t="shared" si="4"/>
        <v>0.82116929653457449</v>
      </c>
      <c r="H24" s="96">
        <f t="shared" si="6"/>
        <v>1.657387124015347</v>
      </c>
      <c r="I24" s="19">
        <f t="shared" si="5"/>
        <v>0.81994488273068733</v>
      </c>
      <c r="J24" s="19">
        <f t="shared" si="5"/>
        <v>0</v>
      </c>
      <c r="K24" s="19">
        <f t="shared" si="5"/>
        <v>-0.5510000000000006</v>
      </c>
      <c r="L24" s="19">
        <f t="shared" si="5"/>
        <v>-0.58199938908388082</v>
      </c>
      <c r="M24" s="181"/>
      <c r="N24" s="170"/>
      <c r="O24" s="170"/>
      <c r="P24" s="170"/>
      <c r="Q24" s="170"/>
      <c r="R24" s="170"/>
      <c r="S24" s="170"/>
      <c r="T24" s="170"/>
      <c r="U24" s="170"/>
      <c r="V24" s="170"/>
      <c r="W24" s="182"/>
    </row>
    <row r="25" spans="1:23">
      <c r="A25" s="88">
        <v>12</v>
      </c>
      <c r="B25" s="89">
        <v>21.15</v>
      </c>
      <c r="C25" s="92">
        <f t="shared" si="0"/>
        <v>0.94127878771851115</v>
      </c>
      <c r="D25" s="20">
        <f t="shared" si="1"/>
        <v>0.85924742862752346</v>
      </c>
      <c r="E25" s="20">
        <f t="shared" si="2"/>
        <v>0.78478999999999988</v>
      </c>
      <c r="F25" s="20">
        <f t="shared" si="3"/>
        <v>0.74645572205663668</v>
      </c>
      <c r="G25" s="93">
        <f t="shared" si="4"/>
        <v>0.74428104685591656</v>
      </c>
      <c r="H25" s="96">
        <f t="shared" si="6"/>
        <v>1.6701057568581505</v>
      </c>
      <c r="I25" s="19">
        <f t="shared" si="5"/>
        <v>0.83256511041608439</v>
      </c>
      <c r="J25" s="19">
        <f t="shared" si="5"/>
        <v>0</v>
      </c>
      <c r="K25" s="19">
        <f t="shared" si="5"/>
        <v>-0.45999999999999974</v>
      </c>
      <c r="L25" s="19">
        <f t="shared" si="5"/>
        <v>-0.48679898991386999</v>
      </c>
      <c r="M25" s="181"/>
      <c r="N25" s="170"/>
      <c r="O25" s="170"/>
      <c r="P25" s="170"/>
      <c r="Q25" s="170"/>
      <c r="R25" s="170"/>
      <c r="S25" s="170"/>
      <c r="T25" s="170"/>
      <c r="U25" s="170"/>
      <c r="V25" s="170"/>
      <c r="W25" s="182"/>
    </row>
    <row r="26" spans="1:23">
      <c r="A26" s="88">
        <v>9</v>
      </c>
      <c r="B26" s="89">
        <v>18.420000000000002</v>
      </c>
      <c r="C26" s="92">
        <f t="shared" si="0"/>
        <v>0.67215393474068796</v>
      </c>
      <c r="D26" s="20">
        <f t="shared" si="1"/>
        <v>0.61127592294004296</v>
      </c>
      <c r="E26" s="20">
        <f t="shared" si="2"/>
        <v>0.56611299999999987</v>
      </c>
      <c r="F26" s="20">
        <f t="shared" si="3"/>
        <v>0.5366208149782451</v>
      </c>
      <c r="G26" s="93">
        <f t="shared" si="4"/>
        <v>0.54101002027373435</v>
      </c>
      <c r="H26" s="96">
        <f t="shared" si="6"/>
        <v>1.3734986713130795</v>
      </c>
      <c r="I26" s="19">
        <f t="shared" si="5"/>
        <v>0.61401526547574536</v>
      </c>
      <c r="J26" s="19">
        <f t="shared" si="5"/>
        <v>0</v>
      </c>
      <c r="K26" s="19">
        <f t="shared" si="5"/>
        <v>-0.4279999999999986</v>
      </c>
      <c r="L26" s="19">
        <f t="shared" si="5"/>
        <v>-0.36283382668231484</v>
      </c>
      <c r="M26" s="181"/>
      <c r="N26" s="170"/>
      <c r="O26" s="170"/>
      <c r="P26" s="170"/>
      <c r="Q26" s="170"/>
      <c r="R26" s="170"/>
      <c r="S26" s="170"/>
      <c r="T26" s="170"/>
      <c r="U26" s="170"/>
      <c r="V26" s="170"/>
      <c r="W26" s="182"/>
    </row>
    <row r="27" spans="1:23">
      <c r="A27" s="88">
        <v>7</v>
      </c>
      <c r="B27" s="89">
        <v>19.21</v>
      </c>
      <c r="C27" s="92">
        <f t="shared" si="0"/>
        <v>0.52725480323638718</v>
      </c>
      <c r="D27" s="20">
        <f t="shared" si="1"/>
        <v>0.47437174756287825</v>
      </c>
      <c r="E27" s="20">
        <f t="shared" si="2"/>
        <v>0.44091000000000008</v>
      </c>
      <c r="F27" s="20">
        <f t="shared" si="3"/>
        <v>0.42482740088028109</v>
      </c>
      <c r="G27" s="93">
        <f t="shared" si="4"/>
        <v>0.42869206048473402</v>
      </c>
      <c r="H27" s="96">
        <f t="shared" si="6"/>
        <v>1.4920521474584496</v>
      </c>
      <c r="I27" s="19">
        <f t="shared" si="5"/>
        <v>0.61027992928626795</v>
      </c>
      <c r="J27" s="19">
        <f t="shared" si="5"/>
        <v>0</v>
      </c>
      <c r="K27" s="19">
        <f t="shared" si="5"/>
        <v>-0.31000000000000072</v>
      </c>
      <c r="L27" s="19">
        <f t="shared" si="5"/>
        <v>-0.23444860990747513</v>
      </c>
      <c r="M27" s="181"/>
      <c r="N27" s="170"/>
      <c r="O27" s="170"/>
      <c r="P27" s="170"/>
      <c r="Q27" s="170"/>
      <c r="R27" s="170"/>
      <c r="S27" s="170"/>
      <c r="T27" s="170"/>
      <c r="U27" s="170"/>
      <c r="V27" s="170"/>
      <c r="W27" s="182"/>
    </row>
    <row r="28" spans="1:23">
      <c r="A28" s="88">
        <v>6</v>
      </c>
      <c r="B28" s="89">
        <v>16.87</v>
      </c>
      <c r="C28" s="92">
        <f t="shared" si="0"/>
        <v>0.46403478916036273</v>
      </c>
      <c r="D28" s="20">
        <f t="shared" si="1"/>
        <v>0.41560372310876365</v>
      </c>
      <c r="E28" s="20">
        <f t="shared" si="2"/>
        <v>0.39111000000000001</v>
      </c>
      <c r="F28" s="20">
        <f t="shared" si="3"/>
        <v>0.37465084898406231</v>
      </c>
      <c r="G28" s="93">
        <f t="shared" si="4"/>
        <v>0.38088064508790914</v>
      </c>
      <c r="H28" s="96">
        <f t="shared" si="6"/>
        <v>1.2526248467558938</v>
      </c>
      <c r="I28" s="19">
        <f t="shared" si="5"/>
        <v>0.44503919025645433</v>
      </c>
      <c r="J28" s="19">
        <f t="shared" si="5"/>
        <v>0</v>
      </c>
      <c r="K28" s="19">
        <f t="shared" si="5"/>
        <v>-0.31499999999999995</v>
      </c>
      <c r="L28" s="19">
        <f t="shared" si="5"/>
        <v>-0.19417397372017003</v>
      </c>
      <c r="M28" s="181"/>
      <c r="N28" s="170"/>
      <c r="O28" s="170"/>
      <c r="P28" s="170"/>
      <c r="Q28" s="170"/>
      <c r="R28" s="170"/>
      <c r="S28" s="170"/>
      <c r="T28" s="170"/>
      <c r="U28" s="170"/>
      <c r="V28" s="170"/>
      <c r="W28" s="182"/>
    </row>
    <row r="29" spans="1:23">
      <c r="A29" s="88">
        <v>3</v>
      </c>
      <c r="B29" s="89">
        <v>15.74</v>
      </c>
      <c r="C29" s="92">
        <f t="shared" si="0"/>
        <v>0.30975300125707234</v>
      </c>
      <c r="D29" s="20">
        <f t="shared" si="1"/>
        <v>0.27688467700112473</v>
      </c>
      <c r="E29" s="20">
        <f t="shared" si="2"/>
        <v>0.25968999999999998</v>
      </c>
      <c r="F29" s="20">
        <f t="shared" si="3"/>
        <v>0.25442553133833568</v>
      </c>
      <c r="G29" s="93">
        <f t="shared" si="4"/>
        <v>0.25828333296329098</v>
      </c>
      <c r="H29" s="96">
        <f t="shared" si="6"/>
        <v>1.2050590693413019</v>
      </c>
      <c r="I29" s="19">
        <f t="shared" si="5"/>
        <v>0.43825977285530504</v>
      </c>
      <c r="J29" s="19">
        <f t="shared" si="5"/>
        <v>0</v>
      </c>
      <c r="K29" s="19">
        <f t="shared" si="5"/>
        <v>-0.14000000000000115</v>
      </c>
      <c r="L29" s="19">
        <f t="shared" si="5"/>
        <v>-3.712820999630486E-2</v>
      </c>
      <c r="M29" s="181"/>
      <c r="N29" s="170"/>
      <c r="O29" s="170"/>
      <c r="P29" s="170"/>
      <c r="Q29" s="170"/>
      <c r="R29" s="170"/>
      <c r="S29" s="170"/>
      <c r="T29" s="170"/>
      <c r="U29" s="170"/>
      <c r="V29" s="170"/>
      <c r="W29" s="182"/>
    </row>
    <row r="30" spans="1:23">
      <c r="A30" s="88">
        <v>0</v>
      </c>
      <c r="B30" s="89">
        <v>15.34</v>
      </c>
      <c r="C30" s="92">
        <f t="shared" si="0"/>
        <v>0.20140467355308148</v>
      </c>
      <c r="D30" s="20">
        <f t="shared" si="1"/>
        <v>0.17690789287596942</v>
      </c>
      <c r="E30" s="20">
        <f t="shared" si="2"/>
        <v>0.16745599999999999</v>
      </c>
      <c r="F30" s="20">
        <f t="shared" si="3"/>
        <v>0.16670362418273593</v>
      </c>
      <c r="G30" s="93">
        <f t="shared" si="4"/>
        <v>0.17135739791313673</v>
      </c>
      <c r="H30" s="96">
        <f t="shared" si="6"/>
        <v>1.2297898673413155</v>
      </c>
      <c r="I30" s="19">
        <f t="shared" si="5"/>
        <v>0.36580525862122998</v>
      </c>
      <c r="J30" s="19">
        <f t="shared" si="5"/>
        <v>0</v>
      </c>
      <c r="K30" s="19">
        <f t="shared" si="5"/>
        <v>-3.00000000000002E-2</v>
      </c>
      <c r="L30" s="19">
        <f t="shared" si="5"/>
        <v>0.15343291432897799</v>
      </c>
      <c r="M30" s="181"/>
      <c r="N30" s="170"/>
      <c r="O30" s="170"/>
      <c r="P30" s="170"/>
      <c r="Q30" s="170"/>
      <c r="R30" s="170"/>
      <c r="S30" s="170"/>
      <c r="T30" s="170"/>
      <c r="U30" s="170"/>
      <c r="V30" s="170"/>
      <c r="W30" s="182"/>
    </row>
    <row r="31" spans="1:23">
      <c r="A31" s="88">
        <v>-3</v>
      </c>
      <c r="B31" s="89">
        <v>13.9</v>
      </c>
      <c r="C31" s="92">
        <f t="shared" si="0"/>
        <v>0.12843563702287047</v>
      </c>
      <c r="D31" s="20">
        <f t="shared" si="1"/>
        <v>0.11101689053591682</v>
      </c>
      <c r="E31" s="20">
        <f t="shared" si="2"/>
        <v>0.106735</v>
      </c>
      <c r="F31" s="20">
        <f t="shared" si="3"/>
        <v>0.10784669844887886</v>
      </c>
      <c r="G31" s="93">
        <f t="shared" si="4"/>
        <v>0.11134109016288611</v>
      </c>
      <c r="H31" s="96">
        <f t="shared" si="6"/>
        <v>1.1172637864874624</v>
      </c>
      <c r="I31" s="19">
        <f t="shared" si="5"/>
        <v>0.23744264421682229</v>
      </c>
      <c r="J31" s="19">
        <f t="shared" si="5"/>
        <v>0</v>
      </c>
      <c r="K31" s="19">
        <f t="shared" si="5"/>
        <v>6.2550000000000064E-2</v>
      </c>
      <c r="L31" s="19">
        <f t="shared" si="5"/>
        <v>0.255045746170941</v>
      </c>
      <c r="M31" s="181"/>
      <c r="N31" s="170"/>
      <c r="O31" s="170"/>
      <c r="P31" s="170"/>
      <c r="Q31" s="170"/>
      <c r="R31" s="170"/>
      <c r="S31" s="170"/>
      <c r="T31" s="170"/>
      <c r="U31" s="170"/>
      <c r="V31" s="170"/>
      <c r="W31" s="182"/>
    </row>
    <row r="32" spans="1:23">
      <c r="A32" s="88">
        <v>-8</v>
      </c>
      <c r="B32" s="89">
        <v>12.66</v>
      </c>
      <c r="C32" s="92">
        <f t="shared" si="0"/>
        <v>5.472019859577526E-2</v>
      </c>
      <c r="D32" s="20">
        <f t="shared" si="1"/>
        <v>4.6297565517774558E-2</v>
      </c>
      <c r="E32" s="20">
        <f t="shared" si="2"/>
        <v>4.7433000000000003E-2</v>
      </c>
      <c r="F32" s="20">
        <f t="shared" si="3"/>
        <v>4.9172286552456167E-2</v>
      </c>
      <c r="G32" s="93">
        <f t="shared" si="4"/>
        <v>5.0121547754298272E-2</v>
      </c>
      <c r="H32" s="96">
        <f t="shared" si="6"/>
        <v>0.78576912529256304</v>
      </c>
      <c r="I32" s="19">
        <f t="shared" si="5"/>
        <v>-0.13321407066176683</v>
      </c>
      <c r="J32" s="19">
        <f t="shared" si="5"/>
        <v>0</v>
      </c>
      <c r="K32" s="19">
        <f t="shared" si="5"/>
        <v>0.19799999999999951</v>
      </c>
      <c r="L32" s="19">
        <f t="shared" si="5"/>
        <v>0.30312952283507877</v>
      </c>
      <c r="M32" s="181"/>
      <c r="N32" s="170"/>
      <c r="O32" s="170"/>
      <c r="P32" s="170"/>
      <c r="Q32" s="170"/>
      <c r="R32" s="170"/>
      <c r="S32" s="170"/>
      <c r="T32" s="170"/>
      <c r="U32" s="170"/>
      <c r="V32" s="170"/>
      <c r="W32" s="182"/>
    </row>
    <row r="33" spans="1:23">
      <c r="A33" s="88">
        <v>-12</v>
      </c>
      <c r="B33" s="89">
        <v>12.21</v>
      </c>
      <c r="C33" s="92">
        <f t="shared" si="0"/>
        <v>2.3884651870002115E-2</v>
      </c>
      <c r="D33" s="20">
        <f t="shared" si="1"/>
        <v>2.1400969858688054E-2</v>
      </c>
      <c r="E33" s="20">
        <f t="shared" si="2"/>
        <v>2.2915000000000001E-2</v>
      </c>
      <c r="F33" s="20">
        <f t="shared" si="3"/>
        <v>2.3630318480600425E-2</v>
      </c>
      <c r="G33" s="93">
        <f t="shared" si="4"/>
        <v>2.491488551185923E-2</v>
      </c>
      <c r="H33" s="96">
        <f t="shared" si="6"/>
        <v>0.21976844981657914</v>
      </c>
      <c r="I33" s="19">
        <f t="shared" si="5"/>
        <v>-0.36247102012673138</v>
      </c>
      <c r="J33" s="19">
        <f t="shared" si="5"/>
        <v>0</v>
      </c>
      <c r="K33" s="19">
        <f t="shared" si="5"/>
        <v>0.16300000000000001</v>
      </c>
      <c r="L33" s="19">
        <f t="shared" si="5"/>
        <v>0.44369960848274392</v>
      </c>
      <c r="M33" s="181"/>
      <c r="N33" s="170"/>
      <c r="O33" s="170"/>
      <c r="P33" s="170"/>
      <c r="Q33" s="170"/>
      <c r="R33" s="170"/>
      <c r="S33" s="170"/>
      <c r="T33" s="170"/>
      <c r="U33" s="170"/>
      <c r="V33" s="170"/>
      <c r="W33" s="182"/>
    </row>
    <row r="34" spans="1:23">
      <c r="A34" s="88">
        <v>-17</v>
      </c>
      <c r="B34" s="89">
        <v>13.23</v>
      </c>
      <c r="C34" s="92">
        <f t="shared" si="0"/>
        <v>8.2081016450557837E-3</v>
      </c>
      <c r="D34" s="20">
        <f t="shared" si="1"/>
        <v>7.9979923175458115E-3</v>
      </c>
      <c r="E34" s="20">
        <f t="shared" si="2"/>
        <v>8.9269999999999974E-3</v>
      </c>
      <c r="F34" s="20">
        <f t="shared" si="3"/>
        <v>9.4284319914798888E-3</v>
      </c>
      <c r="G34" s="93">
        <f t="shared" si="4"/>
        <v>1.0020569885883939E-2</v>
      </c>
      <c r="H34" s="96">
        <f t="shared" si="6"/>
        <v>-0.48240296155603246</v>
      </c>
      <c r="I34" s="19">
        <f t="shared" si="5"/>
        <v>-0.63139582476961609</v>
      </c>
      <c r="J34" s="19">
        <f t="shared" si="5"/>
        <v>0</v>
      </c>
      <c r="K34" s="19">
        <f t="shared" si="5"/>
        <v>0.3140000000000015</v>
      </c>
      <c r="L34" s="19">
        <f t="shared" si="5"/>
        <v>0.66397250817789288</v>
      </c>
      <c r="M34" s="181"/>
      <c r="N34" s="170"/>
      <c r="O34" s="170"/>
      <c r="P34" s="170"/>
      <c r="Q34" s="170"/>
      <c r="R34" s="170"/>
      <c r="S34" s="170"/>
      <c r="T34" s="170"/>
      <c r="U34" s="170"/>
      <c r="V34" s="170"/>
      <c r="W34" s="182"/>
    </row>
    <row r="35" spans="1:23" ht="13.5" thickBot="1">
      <c r="A35" s="90">
        <v>-20</v>
      </c>
      <c r="B35" s="91">
        <v>11.96</v>
      </c>
      <c r="C35" s="94">
        <f t="shared" si="0"/>
        <v>4.908166105731946E-3</v>
      </c>
      <c r="D35" s="25">
        <f t="shared" si="1"/>
        <v>4.7378068297521539E-3</v>
      </c>
      <c r="E35" s="25">
        <f t="shared" si="2"/>
        <v>5.2960000000000004E-3</v>
      </c>
      <c r="F35" s="25">
        <f t="shared" si="3"/>
        <v>5.5882488270019249E-3</v>
      </c>
      <c r="G35" s="95">
        <f t="shared" si="4"/>
        <v>6.5805593701011612E-3</v>
      </c>
      <c r="H35" s="97">
        <f t="shared" si="6"/>
        <v>-0.39502354403706352</v>
      </c>
      <c r="I35" s="24">
        <f t="shared" si="5"/>
        <v>-0.57851269621814339</v>
      </c>
      <c r="J35" s="24">
        <f t="shared" si="5"/>
        <v>0</v>
      </c>
      <c r="K35" s="24">
        <f t="shared" si="5"/>
        <v>0.27900000000000014</v>
      </c>
      <c r="L35" s="24">
        <f t="shared" si="5"/>
        <v>1.1280054298401005</v>
      </c>
      <c r="M35" s="181"/>
      <c r="N35" s="170"/>
      <c r="O35" s="170"/>
      <c r="P35" s="170"/>
      <c r="Q35" s="170"/>
      <c r="R35" s="170"/>
      <c r="S35" s="170"/>
      <c r="T35" s="170"/>
      <c r="U35" s="170"/>
      <c r="V35" s="170"/>
      <c r="W35" s="182"/>
    </row>
    <row r="36" spans="1:23" ht="14.25" thickTop="1" thickBot="1">
      <c r="M36" s="181"/>
      <c r="N36" s="170"/>
      <c r="O36" s="170"/>
      <c r="P36" s="170"/>
      <c r="Q36" s="170"/>
      <c r="R36" s="170"/>
      <c r="S36" s="170"/>
      <c r="T36" s="170"/>
      <c r="U36" s="170"/>
      <c r="V36" s="170"/>
      <c r="W36" s="182"/>
    </row>
    <row r="37" spans="1:23" ht="43.5" customHeight="1" thickTop="1" thickBot="1">
      <c r="A37" s="231"/>
      <c r="B37" s="231"/>
      <c r="M37" s="181"/>
      <c r="N37" s="237" t="s">
        <v>89</v>
      </c>
      <c r="O37" s="238"/>
      <c r="P37" s="238"/>
      <c r="Q37" s="238"/>
      <c r="R37" s="238"/>
      <c r="S37" s="238"/>
      <c r="T37" s="238"/>
      <c r="U37" s="239"/>
      <c r="V37" s="170"/>
      <c r="W37" s="182"/>
    </row>
    <row r="38" spans="1:23" ht="16.5" customHeight="1" thickTop="1">
      <c r="M38" s="181"/>
      <c r="N38" s="224" t="s">
        <v>90</v>
      </c>
      <c r="O38" s="225"/>
      <c r="P38" s="225"/>
      <c r="Q38" s="171">
        <v>15</v>
      </c>
      <c r="R38" s="171">
        <v>7</v>
      </c>
      <c r="S38" s="171">
        <v>5</v>
      </c>
      <c r="T38" s="171">
        <v>5</v>
      </c>
      <c r="U38" s="172">
        <v>8</v>
      </c>
      <c r="V38" s="170"/>
      <c r="W38" s="182"/>
    </row>
    <row r="39" spans="1:23" ht="18.75" customHeight="1" thickBot="1">
      <c r="M39" s="181"/>
      <c r="N39" s="226" t="s">
        <v>91</v>
      </c>
      <c r="O39" s="227"/>
      <c r="P39" s="227"/>
      <c r="Q39" s="204">
        <v>-22</v>
      </c>
      <c r="R39" s="204">
        <v>0</v>
      </c>
      <c r="S39" s="204">
        <v>23</v>
      </c>
      <c r="T39" s="204">
        <v>50</v>
      </c>
      <c r="U39" s="173">
        <v>71</v>
      </c>
      <c r="V39" s="170"/>
      <c r="W39" s="182"/>
    </row>
    <row r="40" spans="1:23" ht="13.5" thickBot="1">
      <c r="M40" s="183"/>
      <c r="N40" s="184"/>
      <c r="O40" s="184"/>
      <c r="P40" s="184"/>
      <c r="Q40" s="184"/>
      <c r="R40" s="184"/>
      <c r="S40" s="184"/>
      <c r="T40" s="184"/>
      <c r="U40" s="184"/>
      <c r="V40" s="184"/>
      <c r="W40" s="185"/>
    </row>
  </sheetData>
  <mergeCells count="8">
    <mergeCell ref="N38:P38"/>
    <mergeCell ref="N39:P39"/>
    <mergeCell ref="Q1:U1"/>
    <mergeCell ref="A37:B37"/>
    <mergeCell ref="A19:G19"/>
    <mergeCell ref="H19:L19"/>
    <mergeCell ref="N37:U37"/>
    <mergeCell ref="A21:B21"/>
  </mergeCells>
  <phoneticPr fontId="0" type="noConversion"/>
  <pageMargins left="0.75" right="0.75" top="1" bottom="1" header="0.5" footer="0.5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L-3 Communications/Narda Microwave East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Boncore</dc:creator>
  <cp:keywords/>
  <dc:description/>
  <cp:lastModifiedBy>X</cp:lastModifiedBy>
  <cp:revision/>
  <dcterms:created xsi:type="dcterms:W3CDTF">2006-04-18T19:35:10Z</dcterms:created>
  <dcterms:modified xsi:type="dcterms:W3CDTF">2026-10-28T16:46:01Z</dcterms:modified>
  <cp:category/>
  <cp:contentStatus/>
</cp:coreProperties>
</file>